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data" ContentType="application/vnd.openxmlformats-officedocument.model+data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drawings/drawing5.xml" ContentType="application/vnd.openxmlformats-officedocument.drawing+xml"/>
  <Override PartName="/xl/tables/table4.xml" ContentType="application/vnd.openxmlformats-officedocument.spreadsheetml.table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comments7.xml" ContentType="application/vnd.openxmlformats-officedocument.spreadsheetml.comments+xml"/>
  <Override PartName="/xl/comments8.xml" ContentType="application/vnd.openxmlformats-officedocument.spreadsheetml.comments+xml"/>
  <Override PartName="/xl/tables/table5.xml" ContentType="application/vnd.openxmlformats-officedocument.spreadsheetml.table+xml"/>
  <Override PartName="/xl/tables/table6.xml" ContentType="application/vnd.openxmlformats-officedocument.spreadsheetml.table+xml"/>
  <Override PartName="/xl/comments9.xml" ContentType="application/vnd.openxmlformats-officedocument.spreadsheetml.comments+xml"/>
  <Override PartName="/xl/tables/table7.xml" ContentType="application/vnd.openxmlformats-officedocument.spreadsheetml.table+xml"/>
  <Override PartName="/xl/tables/table8.xml" ContentType="application/vnd.openxmlformats-officedocument.spreadsheetml.table+xml"/>
  <Override PartName="/xl/tables/table9.xml" ContentType="application/vnd.openxmlformats-officedocument.spreadsheetml.table+xml"/>
  <Override PartName="/xl/drawings/drawing6.xml" ContentType="application/vnd.openxmlformats-officedocument.drawing+xml"/>
  <Override PartName="/xl/tables/table10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hidePivotFieldList="1" autoCompressPictures="0"/>
  <mc:AlternateContent xmlns:mc="http://schemas.openxmlformats.org/markup-compatibility/2006">
    <mc:Choice Requires="x15">
      <x15ac:absPath xmlns:x15ac="http://schemas.microsoft.com/office/spreadsheetml/2010/11/ac" url="C:\Users\brentho\Desktop\"/>
    </mc:Choice>
  </mc:AlternateContent>
  <bookViews>
    <workbookView xWindow="0" yWindow="0" windowWidth="23040" windowHeight="9192" firstSheet="3" activeTab="1"/>
  </bookViews>
  <sheets>
    <sheet name="Transactions" sheetId="13" r:id="rId1"/>
    <sheet name="Working Cash Flow" sheetId="19" r:id="rId2"/>
    <sheet name="Miles" sheetId="51" r:id="rId3"/>
    <sheet name="Customers" sheetId="56" r:id="rId4"/>
    <sheet name="Vendors" sheetId="35" r:id="rId5"/>
    <sheet name="Schedule C (P&amp;L)" sheetId="22" r:id="rId6"/>
    <sheet name="Cost of Goods Sold" sheetId="16" r:id="rId7"/>
    <sheet name="Schedule SE" sheetId="21" r:id="rId8"/>
    <sheet name="IRS Mileage" sheetId="20" state="hidden" r:id="rId9"/>
    <sheet name="2022 Forecast" sheetId="25" r:id="rId10"/>
    <sheet name="2023 Forecast" sheetId="62" r:id="rId11"/>
    <sheet name="Forecast Year 3" sheetId="29" r:id="rId12"/>
    <sheet name="Amortization Schedule" sheetId="30" r:id="rId13"/>
    <sheet name="Starting Inventory" sheetId="57" r:id="rId14"/>
    <sheet name="Insurance" sheetId="58" r:id="rId15"/>
    <sheet name="Licenses" sheetId="59" r:id="rId16"/>
    <sheet name="Capital Purchases" sheetId="60" r:id="rId17"/>
    <sheet name="Employees" sheetId="61" r:id="rId18"/>
    <sheet name="Forecasting" sheetId="64" r:id="rId19"/>
    <sheet name="Classifications" sheetId="15" state="hidden" r:id="rId20"/>
  </sheets>
  <definedNames>
    <definedName name="_xlnm._FilterDatabase" localSheetId="3" hidden="1">Customers!$A$3:$H$19</definedName>
    <definedName name="_xlnm._FilterDatabase" localSheetId="2" hidden="1">Miles!$A$3:$H$19</definedName>
    <definedName name="_xlnm._FilterDatabase" localSheetId="0" hidden="1">Transactions!$A$3:$H$19</definedName>
    <definedName name="_xlcn.WorksheetConnection_CashFlowRecords.xlsxLedger1" hidden="1">Ledger[]</definedName>
    <definedName name="AccountLookup" localSheetId="10">#REF!</definedName>
    <definedName name="AccountLookup" localSheetId="3">#REF!</definedName>
    <definedName name="AccountLookup" localSheetId="11">#REF!</definedName>
    <definedName name="AccountLookup" localSheetId="2">#REF!</definedName>
    <definedName name="AccountLookup" localSheetId="0">#REF!</definedName>
    <definedName name="AccountLookup">#REF!</definedName>
    <definedName name="Expenses" localSheetId="10">#REF!</definedName>
    <definedName name="Expenses" localSheetId="3">#REF!</definedName>
    <definedName name="Expenses" localSheetId="11">#REF!</definedName>
    <definedName name="Expenses" localSheetId="2">#REF!</definedName>
    <definedName name="Expenses">#REF!</definedName>
    <definedName name="InventoryMethod">Classifications!$A$41:$A$43</definedName>
    <definedName name="InvetoryMethod">Classifications!$A$41:$A$43</definedName>
    <definedName name="List">Classifications!$A$5:$A$28</definedName>
    <definedName name="Loan_Amount">'Amortization Schedule'!$C$5</definedName>
    <definedName name="Loan_Term">'Amortization Schedule'!$C$9</definedName>
    <definedName name="LoanAmount">'Amortization Schedule'!$C$8</definedName>
    <definedName name="MileageRate" localSheetId="10">#REF!</definedName>
    <definedName name="MileageRate" localSheetId="3">#REF!</definedName>
    <definedName name="MileageRate" localSheetId="11">#REF!</definedName>
    <definedName name="MileageRate" localSheetId="2">#REF!</definedName>
    <definedName name="MileageRate" localSheetId="0">#REF!</definedName>
    <definedName name="MileageRate">#REF!</definedName>
    <definedName name="Payment">'Amortization Schedule'!$C$11</definedName>
    <definedName name="Periods">Classifications!$B$49:$M$49</definedName>
    <definedName name="Rate">'Amortization Schedule'!$C$10</definedName>
    <definedName name="Total_Cost">'Amortization Schedule'!$F$10</definedName>
    <definedName name="Total_Interest">'Amortization Schedule'!$F$5</definedName>
    <definedName name="Total_Principal">'Amortization Schedule'!$F$9</definedName>
    <definedName name="YesNo">Classifications!$A$45:$A$47</definedName>
    <definedName name="YesNo?">Classifications!$A$45:$A$48</definedName>
  </definedNames>
  <calcPr calcId="162913" concurrentCalc="0"/>
  <webPublishing codePage="1252"/>
  <extLst>
    <ext xmlns:x15="http://schemas.microsoft.com/office/spreadsheetml/2010/11/main" uri="{FCE2AD5D-F65C-4FA6-A056-5C36A1767C68}">
      <x15:dataModel>
        <x15:modelTables>
          <x15:modelTable id="Ledger" name="Ledger" connection="WorksheetConnection_Cash Flow &amp; Records.xlsx!Ledger"/>
        </x15:modelTables>
        <x15:extLst>
          <ext xmlns:x16="http://schemas.microsoft.com/office/spreadsheetml/2014/11/main" uri="{9835A34E-60A6-4A7C-AAB8-D5F71C897F49}">
            <x16:modelTimeGroupings>
              <x16:modelTimeGrouping tableName="Ledger" columnName="Date" columnId="Date">
                <x16:calculatedTimeColumn columnName="Date (Month Index)" columnId="Date (Month Index)" contentType="monthsindex" isSelected="1"/>
                <x16:calculatedTimeColumn columnName="Date (Month)" columnId="Date (Month)" contentType="months" isSelected="1"/>
              </x16:modelTimeGrouping>
            </x16:modelTimeGroupings>
          </ext>
        </x15:extLst>
      </x15:dataModel>
    </ext>
  </extLst>
</workbook>
</file>

<file path=xl/calcChain.xml><?xml version="1.0" encoding="utf-8"?>
<calcChain xmlns="http://schemas.openxmlformats.org/spreadsheetml/2006/main">
  <c r="D6" i="25" l="1" a="1"/>
  <c r="D6" i="25"/>
  <c r="E6" i="25"/>
  <c r="F6" i="25"/>
  <c r="G6" i="25"/>
  <c r="H6" i="25"/>
  <c r="I6" i="25"/>
  <c r="J6" i="25"/>
  <c r="K6" i="25"/>
  <c r="L6" i="25"/>
  <c r="M6" i="25"/>
  <c r="N6" i="25"/>
  <c r="O6" i="25"/>
  <c r="C14" i="64"/>
  <c r="C15" i="64"/>
  <c r="C16" i="64"/>
  <c r="C17" i="64"/>
  <c r="C18" i="64"/>
  <c r="C19" i="64"/>
  <c r="C20" i="64"/>
  <c r="C21" i="64"/>
  <c r="C22" i="64"/>
  <c r="C23" i="64"/>
  <c r="C24" i="64"/>
  <c r="C25" i="64"/>
  <c r="D14" i="64"/>
  <c r="D15" i="64"/>
  <c r="D16" i="64"/>
  <c r="D17" i="64"/>
  <c r="D18" i="64"/>
  <c r="D19" i="64"/>
  <c r="D20" i="64"/>
  <c r="D21" i="64"/>
  <c r="D22" i="64"/>
  <c r="D23" i="64"/>
  <c r="D24" i="64"/>
  <c r="D25" i="64"/>
  <c r="D8" i="25"/>
  <c r="D12" i="25"/>
  <c r="D30" i="25"/>
  <c r="D32" i="25"/>
  <c r="D39" i="25"/>
  <c r="D41" i="25"/>
  <c r="E4" i="25"/>
  <c r="E8" i="25"/>
  <c r="E12" i="25"/>
  <c r="E30" i="25"/>
  <c r="E32" i="25"/>
  <c r="E39" i="25"/>
  <c r="E41" i="25"/>
  <c r="F4" i="25"/>
  <c r="F8" i="25"/>
  <c r="F12" i="25"/>
  <c r="F30" i="25"/>
  <c r="F32" i="25"/>
  <c r="F39" i="25"/>
  <c r="F41" i="25"/>
  <c r="G4" i="25"/>
  <c r="G8" i="25"/>
  <c r="G12" i="25"/>
  <c r="G30" i="25"/>
  <c r="G32" i="25"/>
  <c r="G39" i="25"/>
  <c r="G41" i="25"/>
  <c r="H4" i="25"/>
  <c r="H8" i="25"/>
  <c r="H12" i="25"/>
  <c r="H30" i="25"/>
  <c r="H32" i="25"/>
  <c r="H39" i="25"/>
  <c r="H41" i="25"/>
  <c r="I4" i="25"/>
  <c r="I8" i="25"/>
  <c r="I12" i="25"/>
  <c r="I30" i="25"/>
  <c r="I32" i="25"/>
  <c r="I39" i="25"/>
  <c r="I41" i="25"/>
  <c r="J4" i="25"/>
  <c r="J8" i="25"/>
  <c r="J12" i="25"/>
  <c r="J30" i="25"/>
  <c r="J32" i="25"/>
  <c r="J39" i="25"/>
  <c r="J41" i="25"/>
  <c r="K4" i="25"/>
  <c r="K8" i="25"/>
  <c r="K12" i="25"/>
  <c r="K30" i="25"/>
  <c r="K32" i="25"/>
  <c r="K39" i="25"/>
  <c r="K41" i="25"/>
  <c r="L4" i="25"/>
  <c r="L8" i="25"/>
  <c r="L12" i="25"/>
  <c r="L30" i="25"/>
  <c r="L32" i="25"/>
  <c r="L39" i="25"/>
  <c r="L41" i="25"/>
  <c r="M4" i="25"/>
  <c r="M8" i="25"/>
  <c r="M12" i="25"/>
  <c r="M30" i="25"/>
  <c r="M32" i="25"/>
  <c r="M39" i="25"/>
  <c r="M41" i="25"/>
  <c r="N4" i="25"/>
  <c r="N8" i="25"/>
  <c r="N12" i="25"/>
  <c r="N30" i="25"/>
  <c r="N32" i="25"/>
  <c r="N39" i="25"/>
  <c r="N41" i="25"/>
  <c r="O4" i="25"/>
  <c r="O8" i="25"/>
  <c r="O12" i="25"/>
  <c r="O30" i="25"/>
  <c r="O32" i="25"/>
  <c r="O39" i="25"/>
  <c r="O41" i="25"/>
  <c r="P41" i="25"/>
  <c r="E44" i="25"/>
  <c r="F44" i="25"/>
  <c r="G44" i="25"/>
  <c r="H44" i="25"/>
  <c r="I44" i="25"/>
  <c r="J44" i="25"/>
  <c r="K44" i="25"/>
  <c r="L44" i="25"/>
  <c r="M44" i="25"/>
  <c r="N44" i="25"/>
  <c r="O44" i="25"/>
  <c r="E34" i="25"/>
  <c r="F34" i="25"/>
  <c r="G34" i="25"/>
  <c r="H34" i="25"/>
  <c r="I34" i="25"/>
  <c r="J34" i="25"/>
  <c r="K34" i="25"/>
  <c r="L34" i="25"/>
  <c r="M34" i="25"/>
  <c r="N34" i="25"/>
  <c r="O34" i="25"/>
  <c r="L33" i="62"/>
  <c r="D16" i="62"/>
  <c r="D14" i="62"/>
  <c r="E14" i="62"/>
  <c r="F14" i="62"/>
  <c r="G14" i="62"/>
  <c r="H14" i="62"/>
  <c r="I14" i="62"/>
  <c r="J14" i="62"/>
  <c r="K14" i="62"/>
  <c r="L14" i="62"/>
  <c r="M14" i="62"/>
  <c r="N14" i="62"/>
  <c r="C14" i="62"/>
  <c r="C4" i="62"/>
  <c r="C6" i="62"/>
  <c r="C7" i="62"/>
  <c r="C8" i="62"/>
  <c r="C10" i="62"/>
  <c r="C12" i="62"/>
  <c r="C15" i="62"/>
  <c r="C16" i="62"/>
  <c r="C24" i="62"/>
  <c r="C25" i="62"/>
  <c r="C27" i="62"/>
  <c r="C28" i="62"/>
  <c r="C29" i="62"/>
  <c r="C30" i="62"/>
  <c r="C32" i="62"/>
  <c r="C34" i="62"/>
  <c r="C7" i="30"/>
  <c r="C8" i="30"/>
  <c r="C11" i="30"/>
  <c r="C38" i="62"/>
  <c r="C39" i="62"/>
  <c r="C44" i="62"/>
  <c r="D7" i="62"/>
  <c r="D8" i="62"/>
  <c r="D10" i="62"/>
  <c r="D12" i="62"/>
  <c r="D15" i="62"/>
  <c r="D24" i="62"/>
  <c r="D25" i="62"/>
  <c r="D27" i="62"/>
  <c r="D28" i="62"/>
  <c r="D29" i="62"/>
  <c r="D30" i="62"/>
  <c r="D32" i="62"/>
  <c r="D38" i="62"/>
  <c r="D44" i="62"/>
  <c r="E7" i="62"/>
  <c r="E8" i="62"/>
  <c r="E10" i="62"/>
  <c r="E12" i="62"/>
  <c r="E15" i="62"/>
  <c r="E16" i="62"/>
  <c r="E24" i="62"/>
  <c r="E25" i="62"/>
  <c r="E27" i="62"/>
  <c r="E28" i="62"/>
  <c r="E29" i="62"/>
  <c r="E30" i="62"/>
  <c r="E32" i="62"/>
  <c r="E38" i="62"/>
  <c r="E44" i="62"/>
  <c r="F6" i="62"/>
  <c r="F7" i="62"/>
  <c r="F8" i="62"/>
  <c r="F10" i="62"/>
  <c r="F12" i="62"/>
  <c r="F15" i="62"/>
  <c r="F16" i="62"/>
  <c r="F24" i="62"/>
  <c r="F25" i="62"/>
  <c r="F27" i="62"/>
  <c r="F28" i="62"/>
  <c r="F29" i="62"/>
  <c r="F30" i="62"/>
  <c r="F32" i="62"/>
  <c r="F38" i="62"/>
  <c r="F44" i="62"/>
  <c r="G6" i="62"/>
  <c r="G7" i="62"/>
  <c r="G8" i="62"/>
  <c r="G10" i="62"/>
  <c r="G12" i="62"/>
  <c r="G15" i="62"/>
  <c r="G16" i="62"/>
  <c r="G24" i="62"/>
  <c r="G25" i="62"/>
  <c r="G27" i="62"/>
  <c r="G28" i="62"/>
  <c r="G29" i="62"/>
  <c r="G30" i="62"/>
  <c r="G32" i="62"/>
  <c r="G38" i="62"/>
  <c r="G44" i="62"/>
  <c r="H7" i="62"/>
  <c r="H8" i="62"/>
  <c r="H10" i="62"/>
  <c r="H12" i="62"/>
  <c r="H15" i="62"/>
  <c r="H16" i="62"/>
  <c r="H24" i="62"/>
  <c r="H25" i="62"/>
  <c r="H27" i="62"/>
  <c r="H28" i="62"/>
  <c r="H29" i="62"/>
  <c r="H30" i="62"/>
  <c r="H32" i="62"/>
  <c r="H38" i="62"/>
  <c r="H44" i="62"/>
  <c r="I6" i="62"/>
  <c r="I7" i="62"/>
  <c r="I8" i="62"/>
  <c r="I10" i="62"/>
  <c r="I12" i="62"/>
  <c r="I15" i="62"/>
  <c r="I16" i="62"/>
  <c r="I24" i="62"/>
  <c r="I25" i="62"/>
  <c r="I27" i="62"/>
  <c r="I28" i="62"/>
  <c r="I29" i="62"/>
  <c r="I30" i="62"/>
  <c r="I32" i="62"/>
  <c r="I38" i="62"/>
  <c r="I44" i="62"/>
  <c r="J6" i="62"/>
  <c r="J7" i="62"/>
  <c r="J8" i="62"/>
  <c r="J10" i="62"/>
  <c r="J12" i="62"/>
  <c r="J15" i="62"/>
  <c r="J16" i="62"/>
  <c r="J24" i="62"/>
  <c r="J25" i="62"/>
  <c r="J27" i="62"/>
  <c r="J28" i="62"/>
  <c r="J29" i="62"/>
  <c r="J30" i="62"/>
  <c r="J32" i="62"/>
  <c r="J38" i="62"/>
  <c r="J44" i="62"/>
  <c r="K7" i="62"/>
  <c r="K8" i="62"/>
  <c r="K10" i="62"/>
  <c r="K12" i="62"/>
  <c r="K15" i="62"/>
  <c r="K16" i="62"/>
  <c r="K24" i="62"/>
  <c r="K25" i="62"/>
  <c r="K27" i="62"/>
  <c r="K28" i="62"/>
  <c r="K29" i="62"/>
  <c r="K30" i="62"/>
  <c r="K32" i="62"/>
  <c r="K38" i="62"/>
  <c r="K44" i="62"/>
  <c r="L7" i="62"/>
  <c r="L8" i="62"/>
  <c r="L10" i="62"/>
  <c r="L12" i="62"/>
  <c r="L15" i="62"/>
  <c r="L16" i="62"/>
  <c r="L24" i="62"/>
  <c r="L25" i="62"/>
  <c r="L27" i="62"/>
  <c r="L28" i="62"/>
  <c r="L29" i="62"/>
  <c r="L30" i="62"/>
  <c r="L32" i="62"/>
  <c r="L38" i="62"/>
  <c r="L44" i="62"/>
  <c r="M6" i="62"/>
  <c r="M7" i="62"/>
  <c r="M8" i="62"/>
  <c r="M10" i="62"/>
  <c r="M12" i="62"/>
  <c r="M15" i="62"/>
  <c r="M16" i="62"/>
  <c r="M24" i="62"/>
  <c r="M25" i="62"/>
  <c r="M27" i="62"/>
  <c r="M28" i="62"/>
  <c r="M29" i="62"/>
  <c r="M30" i="62"/>
  <c r="M32" i="62"/>
  <c r="M38" i="62"/>
  <c r="M44" i="62"/>
  <c r="N6" i="62"/>
  <c r="N7" i="62"/>
  <c r="N8" i="62"/>
  <c r="N10" i="62"/>
  <c r="N12" i="62"/>
  <c r="N15" i="62"/>
  <c r="N16" i="62"/>
  <c r="N24" i="62"/>
  <c r="N25" i="62"/>
  <c r="N27" i="62"/>
  <c r="N28" i="62"/>
  <c r="N29" i="62"/>
  <c r="N30" i="62"/>
  <c r="N32" i="62"/>
  <c r="N38" i="62"/>
  <c r="N44" i="62"/>
  <c r="O44" i="62"/>
  <c r="N43" i="62"/>
  <c r="M43" i="62"/>
  <c r="L43" i="62"/>
  <c r="K43" i="62"/>
  <c r="J43" i="62"/>
  <c r="I43" i="62"/>
  <c r="H43" i="62"/>
  <c r="G43" i="62"/>
  <c r="F43" i="62"/>
  <c r="E43" i="62"/>
  <c r="D43" i="62"/>
  <c r="C43" i="62"/>
  <c r="C41" i="62"/>
  <c r="D4" i="62"/>
  <c r="D39" i="62"/>
  <c r="D41" i="62"/>
  <c r="E4" i="62"/>
  <c r="E39" i="62"/>
  <c r="E41" i="62"/>
  <c r="F4" i="62"/>
  <c r="F39" i="62"/>
  <c r="F41" i="62"/>
  <c r="G4" i="62"/>
  <c r="G39" i="62"/>
  <c r="G41" i="62"/>
  <c r="H4" i="62"/>
  <c r="H39" i="62"/>
  <c r="H41" i="62"/>
  <c r="I4" i="62"/>
  <c r="I39" i="62"/>
  <c r="I41" i="62"/>
  <c r="J4" i="62"/>
  <c r="J39" i="62"/>
  <c r="J41" i="62"/>
  <c r="K4" i="62"/>
  <c r="K39" i="62"/>
  <c r="K41" i="62"/>
  <c r="L4" i="62"/>
  <c r="L39" i="62"/>
  <c r="L41" i="62"/>
  <c r="M4" i="62"/>
  <c r="M39" i="62"/>
  <c r="M41" i="62"/>
  <c r="N4" i="62"/>
  <c r="N39" i="62"/>
  <c r="N41" i="62"/>
  <c r="A1" i="62"/>
  <c r="D38" i="25"/>
  <c r="D44" i="25"/>
  <c r="E38" i="25"/>
  <c r="F38" i="25"/>
  <c r="G38" i="25"/>
  <c r="H38" i="25"/>
  <c r="I38" i="25"/>
  <c r="J38" i="25"/>
  <c r="K38" i="25"/>
  <c r="L38" i="25"/>
  <c r="M38" i="25"/>
  <c r="N38" i="25"/>
  <c r="O38" i="25"/>
  <c r="P44" i="25"/>
  <c r="O25" i="25"/>
  <c r="N25" i="25"/>
  <c r="M25" i="25"/>
  <c r="L25" i="25"/>
  <c r="K25" i="25"/>
  <c r="J25" i="25"/>
  <c r="I25" i="25"/>
  <c r="H25" i="25"/>
  <c r="G25" i="25"/>
  <c r="F25" i="25"/>
  <c r="E25" i="25"/>
  <c r="E16" i="25"/>
  <c r="F16" i="25"/>
  <c r="G16" i="25"/>
  <c r="H16" i="25"/>
  <c r="I16" i="25"/>
  <c r="J16" i="25"/>
  <c r="K16" i="25"/>
  <c r="L16" i="25"/>
  <c r="M16" i="25"/>
  <c r="N16" i="25"/>
  <c r="O16" i="25"/>
  <c r="E10" i="25"/>
  <c r="F10" i="25"/>
  <c r="G10" i="25"/>
  <c r="H10" i="25"/>
  <c r="I10" i="25"/>
  <c r="J10" i="25"/>
  <c r="K10" i="25"/>
  <c r="L10" i="25"/>
  <c r="M10" i="25"/>
  <c r="N10" i="25"/>
  <c r="O10" i="25"/>
  <c r="E15" i="25"/>
  <c r="F15" i="25"/>
  <c r="G15" i="25"/>
  <c r="H15" i="25"/>
  <c r="I15" i="25"/>
  <c r="J15" i="25"/>
  <c r="K15" i="25"/>
  <c r="L15" i="25"/>
  <c r="M15" i="25"/>
  <c r="N15" i="25"/>
  <c r="O15" i="25"/>
  <c r="E24" i="25"/>
  <c r="F24" i="25"/>
  <c r="G24" i="25"/>
  <c r="H24" i="25"/>
  <c r="I24" i="25"/>
  <c r="J24" i="25"/>
  <c r="K24" i="25"/>
  <c r="L24" i="25"/>
  <c r="M24" i="25"/>
  <c r="N24" i="25"/>
  <c r="O24" i="25"/>
  <c r="K7" i="25"/>
  <c r="J7" i="25"/>
  <c r="O7" i="25"/>
  <c r="N7" i="25"/>
  <c r="M7" i="25"/>
  <c r="L7" i="25"/>
  <c r="I7" i="25"/>
  <c r="H7" i="25"/>
  <c r="G7" i="25"/>
  <c r="D7" i="25"/>
  <c r="F7" i="25"/>
  <c r="E7" i="25"/>
  <c r="E7" i="57"/>
  <c r="E3" i="57"/>
  <c r="E4" i="57"/>
  <c r="E5" i="57"/>
  <c r="E6" i="57"/>
  <c r="B7" i="57"/>
  <c r="D3" i="57"/>
  <c r="D4" i="57"/>
  <c r="D5" i="57"/>
  <c r="D6" i="57"/>
  <c r="D7" i="57"/>
  <c r="D34" i="25"/>
  <c r="D25" i="25"/>
  <c r="D3" i="61"/>
  <c r="D4" i="61"/>
  <c r="D5" i="61"/>
  <c r="D6" i="61"/>
  <c r="D7" i="61"/>
  <c r="D16" i="25"/>
  <c r="D10" i="25"/>
  <c r="C10" i="25"/>
  <c r="C16" i="25"/>
  <c r="C37" i="25"/>
  <c r="D10" i="60"/>
  <c r="D9" i="60"/>
  <c r="D8" i="60"/>
  <c r="D7" i="60"/>
  <c r="D6" i="60"/>
  <c r="D3" i="60"/>
  <c r="D4" i="60"/>
  <c r="D5" i="60"/>
  <c r="D24" i="25"/>
  <c r="C24" i="25"/>
  <c r="C22" i="25"/>
  <c r="B5" i="59"/>
  <c r="D15" i="25"/>
  <c r="C15" i="25"/>
  <c r="B10" i="58"/>
  <c r="C7" i="25"/>
  <c r="I4" i="51"/>
  <c r="H4" i="51"/>
  <c r="H5" i="51"/>
  <c r="G5" i="51"/>
  <c r="J4" i="51"/>
  <c r="I5" i="51"/>
  <c r="A1" i="30"/>
  <c r="N44" i="29"/>
  <c r="M44" i="29"/>
  <c r="L44" i="29"/>
  <c r="K44" i="29"/>
  <c r="J44" i="29"/>
  <c r="I44" i="29"/>
  <c r="H44" i="29"/>
  <c r="G44" i="29"/>
  <c r="F44" i="29"/>
  <c r="E44" i="29"/>
  <c r="D44" i="29"/>
  <c r="C44" i="29"/>
  <c r="N33" i="29"/>
  <c r="M33" i="29"/>
  <c r="L33" i="29"/>
  <c r="K33" i="29"/>
  <c r="J33" i="29"/>
  <c r="I33" i="29"/>
  <c r="H33" i="29"/>
  <c r="G33" i="29"/>
  <c r="F33" i="29"/>
  <c r="E33" i="29"/>
  <c r="D33" i="29"/>
  <c r="C33" i="29"/>
  <c r="N31" i="29"/>
  <c r="M31" i="29"/>
  <c r="L31" i="29"/>
  <c r="K31" i="29"/>
  <c r="J31" i="29"/>
  <c r="I31" i="29"/>
  <c r="H31" i="29"/>
  <c r="G31" i="29"/>
  <c r="F31" i="29"/>
  <c r="E31" i="29"/>
  <c r="D31" i="29"/>
  <c r="C31" i="29"/>
  <c r="N28" i="29"/>
  <c r="M28" i="29"/>
  <c r="L28" i="29"/>
  <c r="K28" i="29"/>
  <c r="J28" i="29"/>
  <c r="I28" i="29"/>
  <c r="H28" i="29"/>
  <c r="G28" i="29"/>
  <c r="F28" i="29"/>
  <c r="E28" i="29"/>
  <c r="D28" i="29"/>
  <c r="C28" i="29"/>
  <c r="N8" i="29"/>
  <c r="M8" i="29"/>
  <c r="L8" i="29"/>
  <c r="K8" i="29"/>
  <c r="J8" i="29"/>
  <c r="I8" i="29"/>
  <c r="H8" i="29"/>
  <c r="G8" i="29"/>
  <c r="F8" i="29"/>
  <c r="E8" i="29"/>
  <c r="D8" i="29"/>
  <c r="C8" i="29"/>
  <c r="A1" i="29"/>
  <c r="C8" i="25"/>
  <c r="C30" i="25"/>
  <c r="C32" i="25"/>
  <c r="C44" i="25"/>
  <c r="O27" i="25"/>
  <c r="O28" i="25"/>
  <c r="O29" i="25"/>
  <c r="O43" i="25"/>
  <c r="N27" i="25"/>
  <c r="N28" i="25"/>
  <c r="N29" i="25"/>
  <c r="N43" i="25"/>
  <c r="M27" i="25"/>
  <c r="M28" i="25"/>
  <c r="M29" i="25"/>
  <c r="M43" i="25"/>
  <c r="L27" i="25"/>
  <c r="L28" i="25"/>
  <c r="L29" i="25"/>
  <c r="L43" i="25"/>
  <c r="K27" i="25"/>
  <c r="K28" i="25"/>
  <c r="K29" i="25"/>
  <c r="K43" i="25"/>
  <c r="J27" i="25"/>
  <c r="J28" i="25"/>
  <c r="J29" i="25"/>
  <c r="J43" i="25"/>
  <c r="I27" i="25"/>
  <c r="I28" i="25"/>
  <c r="I29" i="25"/>
  <c r="I43" i="25"/>
  <c r="H27" i="25"/>
  <c r="H28" i="25"/>
  <c r="H29" i="25"/>
  <c r="H43" i="25"/>
  <c r="G27" i="25"/>
  <c r="G28" i="25"/>
  <c r="G29" i="25"/>
  <c r="G43" i="25"/>
  <c r="F27" i="25"/>
  <c r="F28" i="25"/>
  <c r="F29" i="25"/>
  <c r="F43" i="25"/>
  <c r="E27" i="25"/>
  <c r="E28" i="25"/>
  <c r="E29" i="25"/>
  <c r="E43" i="25"/>
  <c r="D27" i="25"/>
  <c r="D28" i="25"/>
  <c r="D29" i="25"/>
  <c r="D43" i="25"/>
  <c r="C43" i="25"/>
  <c r="C36" i="25"/>
  <c r="A1" i="25"/>
  <c r="A1" i="20"/>
  <c r="A1" i="21"/>
  <c r="B12" i="16"/>
  <c r="B10" i="16"/>
  <c r="A1" i="16"/>
  <c r="B37" i="22"/>
  <c r="B36" i="22"/>
  <c r="B35" i="22"/>
  <c r="B34" i="22"/>
  <c r="B33" i="22"/>
  <c r="B31" i="22"/>
  <c r="B30" i="22"/>
  <c r="B29" i="22"/>
  <c r="B28" i="22"/>
  <c r="B27" i="22"/>
  <c r="B25" i="22"/>
  <c r="B24" i="22"/>
  <c r="B23" i="22"/>
  <c r="B22" i="22"/>
  <c r="B21" i="22"/>
  <c r="B19" i="22"/>
  <c r="B18" i="22"/>
  <c r="B17" i="22"/>
  <c r="B16" i="22"/>
  <c r="B15" i="22"/>
  <c r="B14" i="22"/>
  <c r="B13" i="22"/>
  <c r="B12" i="22"/>
  <c r="B8" i="22"/>
  <c r="B6" i="22"/>
  <c r="B4" i="22"/>
  <c r="B3" i="22"/>
  <c r="B3" i="20"/>
  <c r="B5" i="20"/>
  <c r="I4" i="13"/>
  <c r="M37" i="19"/>
  <c r="N10" i="19"/>
  <c r="F32" i="19"/>
  <c r="N37" i="19"/>
  <c r="L39" i="19"/>
  <c r="F16" i="19"/>
  <c r="J13" i="19"/>
  <c r="N18" i="19"/>
  <c r="J21" i="19"/>
  <c r="F24" i="19"/>
  <c r="N26" i="19"/>
  <c r="F6" i="19"/>
  <c r="J29" i="19"/>
  <c r="N39" i="29"/>
  <c r="C39" i="25"/>
  <c r="C41" i="25"/>
  <c r="D4" i="25"/>
  <c r="M6" i="19"/>
  <c r="I11" i="19"/>
  <c r="E14" i="19"/>
  <c r="M16" i="19"/>
  <c r="I19" i="19"/>
  <c r="E22" i="19"/>
  <c r="M24" i="19"/>
  <c r="I27" i="19"/>
  <c r="E30" i="19"/>
  <c r="M32" i="19"/>
  <c r="I38" i="19"/>
  <c r="N6" i="19"/>
  <c r="J11" i="19"/>
  <c r="F14" i="19"/>
  <c r="N16" i="19"/>
  <c r="J19" i="19"/>
  <c r="F22" i="19"/>
  <c r="N24" i="19"/>
  <c r="J27" i="19"/>
  <c r="F30" i="19"/>
  <c r="N32" i="19"/>
  <c r="E39" i="19"/>
  <c r="I7" i="19"/>
  <c r="E12" i="19"/>
  <c r="M14" i="19"/>
  <c r="I17" i="19"/>
  <c r="E20" i="19"/>
  <c r="M22" i="19"/>
  <c r="I25" i="19"/>
  <c r="E28" i="19"/>
  <c r="M30" i="19"/>
  <c r="I36" i="19"/>
  <c r="M39" i="19"/>
  <c r="J4" i="13"/>
  <c r="J7" i="19"/>
  <c r="F12" i="19"/>
  <c r="N14" i="19"/>
  <c r="J17" i="19"/>
  <c r="F20" i="19"/>
  <c r="N22" i="19"/>
  <c r="J25" i="19"/>
  <c r="F28" i="19"/>
  <c r="N30" i="19"/>
  <c r="J36" i="19"/>
  <c r="E10" i="19"/>
  <c r="M12" i="19"/>
  <c r="I15" i="19"/>
  <c r="E18" i="19"/>
  <c r="M20" i="19"/>
  <c r="I23" i="19"/>
  <c r="E26" i="19"/>
  <c r="M28" i="19"/>
  <c r="I31" i="19"/>
  <c r="E37" i="19"/>
  <c r="F10" i="19"/>
  <c r="N12" i="19"/>
  <c r="J15" i="19"/>
  <c r="F18" i="19"/>
  <c r="N20" i="19"/>
  <c r="J23" i="19"/>
  <c r="F26" i="19"/>
  <c r="N28" i="19"/>
  <c r="J31" i="19"/>
  <c r="F37" i="19"/>
  <c r="E6" i="19"/>
  <c r="M10" i="19"/>
  <c r="I13" i="19"/>
  <c r="E16" i="19"/>
  <c r="M18" i="19"/>
  <c r="I21" i="19"/>
  <c r="E24" i="19"/>
  <c r="M26" i="19"/>
  <c r="I29" i="19"/>
  <c r="E32" i="19"/>
  <c r="B39" i="22"/>
  <c r="B5" i="22"/>
  <c r="B7" i="22"/>
  <c r="B9" i="22"/>
  <c r="N39" i="19"/>
  <c r="G6" i="19"/>
  <c r="C7" i="19"/>
  <c r="K7" i="19"/>
  <c r="G10" i="19"/>
  <c r="C11" i="19"/>
  <c r="K11" i="19"/>
  <c r="G12" i="19"/>
  <c r="C13" i="19"/>
  <c r="K13" i="19"/>
  <c r="G14" i="19"/>
  <c r="C15" i="19"/>
  <c r="K15" i="19"/>
  <c r="G16" i="19"/>
  <c r="C17" i="19"/>
  <c r="K17" i="19"/>
  <c r="G18" i="19"/>
  <c r="C19" i="19"/>
  <c r="K19" i="19"/>
  <c r="G20" i="19"/>
  <c r="C21" i="19"/>
  <c r="K21" i="19"/>
  <c r="G22" i="19"/>
  <c r="C23" i="19"/>
  <c r="K23" i="19"/>
  <c r="G24" i="19"/>
  <c r="C25" i="19"/>
  <c r="K25" i="19"/>
  <c r="G26" i="19"/>
  <c r="C27" i="19"/>
  <c r="K27" i="19"/>
  <c r="G28" i="19"/>
  <c r="C29" i="19"/>
  <c r="K29" i="19"/>
  <c r="G30" i="19"/>
  <c r="C31" i="19"/>
  <c r="K31" i="19"/>
  <c r="G32" i="19"/>
  <c r="C36" i="19"/>
  <c r="K36" i="19"/>
  <c r="G37" i="19"/>
  <c r="C38" i="19"/>
  <c r="K38" i="19"/>
  <c r="G39" i="19"/>
  <c r="H6" i="19"/>
  <c r="D7" i="19"/>
  <c r="L7" i="19"/>
  <c r="H10" i="19"/>
  <c r="D11" i="19"/>
  <c r="L11" i="19"/>
  <c r="H12" i="19"/>
  <c r="D13" i="19"/>
  <c r="L13" i="19"/>
  <c r="H14" i="19"/>
  <c r="D15" i="19"/>
  <c r="L15" i="19"/>
  <c r="H16" i="19"/>
  <c r="D17" i="19"/>
  <c r="L17" i="19"/>
  <c r="H18" i="19"/>
  <c r="D19" i="19"/>
  <c r="L19" i="19"/>
  <c r="H20" i="19"/>
  <c r="D21" i="19"/>
  <c r="L21" i="19"/>
  <c r="H22" i="19"/>
  <c r="D23" i="19"/>
  <c r="L23" i="19"/>
  <c r="H24" i="19"/>
  <c r="D25" i="19"/>
  <c r="L25" i="19"/>
  <c r="H26" i="19"/>
  <c r="D27" i="19"/>
  <c r="L27" i="19"/>
  <c r="H28" i="19"/>
  <c r="D29" i="19"/>
  <c r="L29" i="19"/>
  <c r="H30" i="19"/>
  <c r="D31" i="19"/>
  <c r="L31" i="19"/>
  <c r="H32" i="19"/>
  <c r="D36" i="19"/>
  <c r="L36" i="19"/>
  <c r="H37" i="19"/>
  <c r="D38" i="19"/>
  <c r="L38" i="19"/>
  <c r="H39" i="19"/>
  <c r="F39" i="19"/>
  <c r="I6" i="19"/>
  <c r="M7" i="19"/>
  <c r="E11" i="19"/>
  <c r="I12" i="19"/>
  <c r="E13" i="19"/>
  <c r="M13" i="19"/>
  <c r="I14" i="19"/>
  <c r="E15" i="19"/>
  <c r="M15" i="19"/>
  <c r="I16" i="19"/>
  <c r="E17" i="19"/>
  <c r="M17" i="19"/>
  <c r="I18" i="19"/>
  <c r="E19" i="19"/>
  <c r="M19" i="19"/>
  <c r="I20" i="19"/>
  <c r="E21" i="19"/>
  <c r="M21" i="19"/>
  <c r="I22" i="19"/>
  <c r="E23" i="19"/>
  <c r="M23" i="19"/>
  <c r="I24" i="19"/>
  <c r="E25" i="19"/>
  <c r="M25" i="19"/>
  <c r="I26" i="19"/>
  <c r="E27" i="19"/>
  <c r="M27" i="19"/>
  <c r="I28" i="19"/>
  <c r="E29" i="19"/>
  <c r="M29" i="19"/>
  <c r="I30" i="19"/>
  <c r="E31" i="19"/>
  <c r="M31" i="19"/>
  <c r="I32" i="19"/>
  <c r="E36" i="19"/>
  <c r="M36" i="19"/>
  <c r="I37" i="19"/>
  <c r="E38" i="19"/>
  <c r="M38" i="19"/>
  <c r="I39" i="19"/>
  <c r="E7" i="19"/>
  <c r="I10" i="19"/>
  <c r="M11" i="19"/>
  <c r="J6" i="19"/>
  <c r="F7" i="19"/>
  <c r="F8" i="19"/>
  <c r="N7" i="19"/>
  <c r="J10" i="19"/>
  <c r="F11" i="19"/>
  <c r="N11" i="19"/>
  <c r="J12" i="19"/>
  <c r="F13" i="19"/>
  <c r="N13" i="19"/>
  <c r="J14" i="19"/>
  <c r="F15" i="19"/>
  <c r="N15" i="19"/>
  <c r="J16" i="19"/>
  <c r="F17" i="19"/>
  <c r="N17" i="19"/>
  <c r="J18" i="19"/>
  <c r="F19" i="19"/>
  <c r="N19" i="19"/>
  <c r="J20" i="19"/>
  <c r="F21" i="19"/>
  <c r="N21" i="19"/>
  <c r="J22" i="19"/>
  <c r="F23" i="19"/>
  <c r="N23" i="19"/>
  <c r="J24" i="19"/>
  <c r="F25" i="19"/>
  <c r="N25" i="19"/>
  <c r="J26" i="19"/>
  <c r="F27" i="19"/>
  <c r="N27" i="19"/>
  <c r="J28" i="19"/>
  <c r="F29" i="19"/>
  <c r="N29" i="19"/>
  <c r="J30" i="19"/>
  <c r="F31" i="19"/>
  <c r="N31" i="19"/>
  <c r="J32" i="19"/>
  <c r="F36" i="19"/>
  <c r="N36" i="19"/>
  <c r="J37" i="19"/>
  <c r="F38" i="19"/>
  <c r="N38" i="19"/>
  <c r="J39" i="19"/>
  <c r="J38" i="19"/>
  <c r="K6" i="19"/>
  <c r="C10" i="19"/>
  <c r="K10" i="19"/>
  <c r="G11" i="19"/>
  <c r="C12" i="19"/>
  <c r="K12" i="19"/>
  <c r="G13" i="19"/>
  <c r="C14" i="19"/>
  <c r="K14" i="19"/>
  <c r="G15" i="19"/>
  <c r="C16" i="19"/>
  <c r="K16" i="19"/>
  <c r="G17" i="19"/>
  <c r="C18" i="19"/>
  <c r="K18" i="19"/>
  <c r="G19" i="19"/>
  <c r="C20" i="19"/>
  <c r="K20" i="19"/>
  <c r="G21" i="19"/>
  <c r="C22" i="19"/>
  <c r="K22" i="19"/>
  <c r="G23" i="19"/>
  <c r="C24" i="19"/>
  <c r="K24" i="19"/>
  <c r="G25" i="19"/>
  <c r="C26" i="19"/>
  <c r="K26" i="19"/>
  <c r="G27" i="19"/>
  <c r="C28" i="19"/>
  <c r="K28" i="19"/>
  <c r="G29" i="19"/>
  <c r="C30" i="19"/>
  <c r="K30" i="19"/>
  <c r="G31" i="19"/>
  <c r="C32" i="19"/>
  <c r="K32" i="19"/>
  <c r="G36" i="19"/>
  <c r="C37" i="19"/>
  <c r="K37" i="19"/>
  <c r="G38" i="19"/>
  <c r="C39" i="19"/>
  <c r="K39" i="19"/>
  <c r="C6" i="19"/>
  <c r="C8" i="19"/>
  <c r="G7" i="19"/>
  <c r="D6" i="19"/>
  <c r="L6" i="19"/>
  <c r="H7" i="19"/>
  <c r="D10" i="19"/>
  <c r="L10" i="19"/>
  <c r="H11" i="19"/>
  <c r="D12" i="19"/>
  <c r="L12" i="19"/>
  <c r="H13" i="19"/>
  <c r="D14" i="19"/>
  <c r="L14" i="19"/>
  <c r="H15" i="19"/>
  <c r="D16" i="19"/>
  <c r="L16" i="19"/>
  <c r="H17" i="19"/>
  <c r="D18" i="19"/>
  <c r="L18" i="19"/>
  <c r="H19" i="19"/>
  <c r="D20" i="19"/>
  <c r="L20" i="19"/>
  <c r="H21" i="19"/>
  <c r="D22" i="19"/>
  <c r="L22" i="19"/>
  <c r="H23" i="19"/>
  <c r="D24" i="19"/>
  <c r="L24" i="19"/>
  <c r="H25" i="19"/>
  <c r="D26" i="19"/>
  <c r="L26" i="19"/>
  <c r="H27" i="19"/>
  <c r="D28" i="19"/>
  <c r="L28" i="19"/>
  <c r="H29" i="19"/>
  <c r="D30" i="19"/>
  <c r="L30" i="19"/>
  <c r="H31" i="19"/>
  <c r="D32" i="19"/>
  <c r="L32" i="19"/>
  <c r="H36" i="19"/>
  <c r="D37" i="19"/>
  <c r="L37" i="19"/>
  <c r="H38" i="19"/>
  <c r="D39" i="19"/>
  <c r="N40" i="29"/>
  <c r="N45" i="29"/>
  <c r="F39" i="29"/>
  <c r="G39" i="29"/>
  <c r="H39" i="29"/>
  <c r="I39" i="29"/>
  <c r="F5" i="30"/>
  <c r="F9" i="30"/>
  <c r="M39" i="29"/>
  <c r="E39" i="29"/>
  <c r="L39" i="29"/>
  <c r="D39" i="29"/>
  <c r="K39" i="29"/>
  <c r="C39" i="29"/>
  <c r="J39" i="29"/>
  <c r="N8" i="19"/>
  <c r="B40" i="22"/>
  <c r="B42" i="22"/>
  <c r="B3" i="21"/>
  <c r="B4" i="21"/>
  <c r="B5" i="21"/>
  <c r="B6" i="21"/>
  <c r="E8" i="19"/>
  <c r="M8" i="19"/>
  <c r="L8" i="19"/>
  <c r="J8" i="19"/>
  <c r="I8" i="19"/>
  <c r="K8" i="19"/>
  <c r="N33" i="19"/>
  <c r="F33" i="19"/>
  <c r="M33" i="19"/>
  <c r="E33" i="19"/>
  <c r="D8" i="19"/>
  <c r="O39" i="19"/>
  <c r="O36" i="19"/>
  <c r="O30" i="19"/>
  <c r="O14" i="19"/>
  <c r="O27" i="19"/>
  <c r="O11" i="19"/>
  <c r="D33" i="19"/>
  <c r="J33" i="19"/>
  <c r="O17" i="19"/>
  <c r="O37" i="19"/>
  <c r="O18" i="19"/>
  <c r="O31" i="19"/>
  <c r="O15" i="19"/>
  <c r="O21" i="19"/>
  <c r="O28" i="19"/>
  <c r="O12" i="19"/>
  <c r="H33" i="19"/>
  <c r="O20" i="19"/>
  <c r="O24" i="19"/>
  <c r="G33" i="19"/>
  <c r="O22" i="19"/>
  <c r="O38" i="19"/>
  <c r="O19" i="19"/>
  <c r="G8" i="19"/>
  <c r="O16" i="19"/>
  <c r="K33" i="19"/>
  <c r="O25" i="19"/>
  <c r="O29" i="19"/>
  <c r="O13" i="19"/>
  <c r="C33" i="19"/>
  <c r="C35" i="19"/>
  <c r="C40" i="19"/>
  <c r="C42" i="19"/>
  <c r="D4" i="19"/>
  <c r="O32" i="19"/>
  <c r="L33" i="19"/>
  <c r="O26" i="19"/>
  <c r="O10" i="19"/>
  <c r="I33" i="19"/>
  <c r="H8" i="19"/>
  <c r="O23" i="19"/>
  <c r="F40" i="29"/>
  <c r="F45" i="29"/>
  <c r="H40" i="29"/>
  <c r="H45" i="29"/>
  <c r="D45" i="29"/>
  <c r="D40" i="29"/>
  <c r="F10" i="30"/>
  <c r="B15" i="30"/>
  <c r="L45" i="29"/>
  <c r="L40" i="29"/>
  <c r="E45" i="29"/>
  <c r="E40" i="29"/>
  <c r="I40" i="29"/>
  <c r="I45" i="29"/>
  <c r="G40" i="29"/>
  <c r="G45" i="29"/>
  <c r="J45" i="29"/>
  <c r="J40" i="29"/>
  <c r="K45" i="29"/>
  <c r="K40" i="29"/>
  <c r="M45" i="29"/>
  <c r="M40" i="29"/>
  <c r="C45" i="29"/>
  <c r="C40" i="29"/>
  <c r="C4" i="29"/>
  <c r="C42" i="29"/>
  <c r="D4" i="29"/>
  <c r="D42" i="29"/>
  <c r="E4" i="29"/>
  <c r="E42" i="29"/>
  <c r="F4" i="29"/>
  <c r="F42" i="29"/>
  <c r="G4" i="29"/>
  <c r="G42" i="29"/>
  <c r="H4" i="29"/>
  <c r="H42" i="29"/>
  <c r="I4" i="29"/>
  <c r="I42" i="29"/>
  <c r="J4" i="29"/>
  <c r="J42" i="29"/>
  <c r="K4" i="29"/>
  <c r="K42" i="29"/>
  <c r="L4" i="29"/>
  <c r="L42" i="29"/>
  <c r="M4" i="29"/>
  <c r="M42" i="29"/>
  <c r="N4" i="29"/>
  <c r="N42" i="29"/>
  <c r="N35" i="19"/>
  <c r="N40" i="19"/>
  <c r="K35" i="19"/>
  <c r="K40" i="19"/>
  <c r="M35" i="19"/>
  <c r="M40" i="19"/>
  <c r="E35" i="19"/>
  <c r="E40" i="19"/>
  <c r="F35" i="19"/>
  <c r="F40" i="19"/>
  <c r="O8" i="19"/>
  <c r="H35" i="19"/>
  <c r="H40" i="19"/>
  <c r="J35" i="19"/>
  <c r="J40" i="19"/>
  <c r="I35" i="19"/>
  <c r="I40" i="19"/>
  <c r="G35" i="19"/>
  <c r="G40" i="19"/>
  <c r="O33" i="19"/>
  <c r="D35" i="19"/>
  <c r="L35" i="19"/>
  <c r="L40" i="19"/>
  <c r="C15" i="30"/>
  <c r="D40" i="19"/>
  <c r="D42" i="19"/>
  <c r="E4" i="19"/>
  <c r="E42" i="19"/>
  <c r="F4" i="19"/>
  <c r="F42" i="19"/>
  <c r="G4" i="19"/>
  <c r="G42" i="19"/>
  <c r="H4" i="19"/>
  <c r="H42" i="19"/>
  <c r="I4" i="19"/>
  <c r="I42" i="19"/>
  <c r="J4" i="19"/>
  <c r="J42" i="19"/>
  <c r="K4" i="19"/>
  <c r="K42" i="19"/>
  <c r="L4" i="19"/>
  <c r="L42" i="19"/>
  <c r="M4" i="19"/>
  <c r="M42" i="19"/>
  <c r="N4" i="19"/>
  <c r="N42" i="19"/>
  <c r="O35" i="19"/>
  <c r="D15" i="30"/>
  <c r="E15" i="30"/>
  <c r="F15" i="30"/>
  <c r="B16" i="30"/>
  <c r="C16" i="30"/>
  <c r="D16" i="30"/>
  <c r="E16" i="30"/>
  <c r="F16" i="30"/>
  <c r="B17" i="30"/>
  <c r="C17" i="30"/>
  <c r="D17" i="30"/>
  <c r="E17" i="30"/>
  <c r="F17" i="30"/>
  <c r="B18" i="30"/>
  <c r="C18" i="30"/>
  <c r="D18" i="30"/>
  <c r="E18" i="30"/>
  <c r="F18" i="30"/>
  <c r="B19" i="30"/>
  <c r="C19" i="30"/>
  <c r="D19" i="30"/>
  <c r="E19" i="30"/>
  <c r="F19" i="30"/>
  <c r="B20" i="30"/>
  <c r="C20" i="30"/>
  <c r="D20" i="30"/>
  <c r="E20" i="30"/>
  <c r="F20" i="30"/>
  <c r="B21" i="30"/>
  <c r="C21" i="30"/>
  <c r="D21" i="30"/>
  <c r="E21" i="30"/>
  <c r="F21" i="30"/>
  <c r="B22" i="30"/>
  <c r="C22" i="30"/>
  <c r="D22" i="30"/>
  <c r="E22" i="30"/>
  <c r="F22" i="30"/>
  <c r="B23" i="30"/>
  <c r="C23" i="30"/>
  <c r="D23" i="30"/>
  <c r="E23" i="30"/>
  <c r="F23" i="30"/>
  <c r="B24" i="30"/>
  <c r="C24" i="30"/>
  <c r="D24" i="30"/>
  <c r="E24" i="30"/>
  <c r="F24" i="30"/>
  <c r="B25" i="30"/>
  <c r="C25" i="30"/>
  <c r="D25" i="30"/>
  <c r="E25" i="30"/>
  <c r="F25" i="30"/>
  <c r="B26" i="30"/>
  <c r="C26" i="30"/>
  <c r="D26" i="30"/>
  <c r="E26" i="30"/>
  <c r="F26" i="30"/>
  <c r="B27" i="30"/>
  <c r="C27" i="30"/>
  <c r="D27" i="30"/>
  <c r="E27" i="30"/>
  <c r="F27" i="30"/>
  <c r="B28" i="30"/>
  <c r="C28" i="30"/>
  <c r="D28" i="30"/>
  <c r="E28" i="30"/>
  <c r="F28" i="30"/>
  <c r="B29" i="30"/>
  <c r="C29" i="30"/>
  <c r="D29" i="30"/>
  <c r="E29" i="30"/>
  <c r="F29" i="30"/>
  <c r="B30" i="30"/>
  <c r="C30" i="30"/>
  <c r="D30" i="30"/>
  <c r="E30" i="30"/>
  <c r="F30" i="30"/>
  <c r="B31" i="30"/>
  <c r="C31" i="30"/>
  <c r="D31" i="30"/>
  <c r="E31" i="30"/>
  <c r="F31" i="30"/>
  <c r="B32" i="30"/>
  <c r="C32" i="30"/>
  <c r="D32" i="30"/>
  <c r="E32" i="30"/>
  <c r="F32" i="30"/>
  <c r="B33" i="30"/>
  <c r="C33" i="30"/>
  <c r="D33" i="30"/>
  <c r="E33" i="30"/>
  <c r="F33" i="30"/>
  <c r="B34" i="30"/>
  <c r="C34" i="30"/>
  <c r="D34" i="30"/>
  <c r="E34" i="30"/>
  <c r="F34" i="30"/>
  <c r="B35" i="30"/>
  <c r="C35" i="30"/>
  <c r="D35" i="30"/>
  <c r="E35" i="30"/>
  <c r="F35" i="30"/>
  <c r="B36" i="30"/>
  <c r="C36" i="30"/>
  <c r="D36" i="30"/>
  <c r="E36" i="30"/>
  <c r="F36" i="30"/>
  <c r="B37" i="30"/>
  <c r="C37" i="30"/>
  <c r="D37" i="30"/>
  <c r="E37" i="30"/>
  <c r="F37" i="30"/>
  <c r="B38" i="30"/>
  <c r="C38" i="30"/>
  <c r="D38" i="30"/>
  <c r="E38" i="30"/>
  <c r="F38" i="30"/>
  <c r="B39" i="30"/>
  <c r="C39" i="30"/>
  <c r="D39" i="30"/>
  <c r="E39" i="30"/>
  <c r="F39" i="30"/>
  <c r="B40" i="30"/>
  <c r="C40" i="30"/>
  <c r="D40" i="30"/>
  <c r="E40" i="30"/>
  <c r="F40" i="30"/>
  <c r="B41" i="30"/>
  <c r="C41" i="30"/>
  <c r="D41" i="30"/>
  <c r="E41" i="30"/>
  <c r="F41" i="30"/>
  <c r="B42" i="30"/>
  <c r="C42" i="30"/>
  <c r="D42" i="30"/>
  <c r="E42" i="30"/>
  <c r="F42" i="30"/>
  <c r="B43" i="30"/>
  <c r="C43" i="30"/>
  <c r="D43" i="30"/>
  <c r="E43" i="30"/>
  <c r="F43" i="30"/>
  <c r="B44" i="30"/>
  <c r="C44" i="30"/>
  <c r="D44" i="30"/>
  <c r="E44" i="30"/>
  <c r="F44" i="30"/>
  <c r="B45" i="30"/>
  <c r="C45" i="30"/>
  <c r="D45" i="30"/>
  <c r="E45" i="30"/>
  <c r="F45" i="30"/>
  <c r="B46" i="30"/>
  <c r="C46" i="30"/>
  <c r="D46" i="30"/>
  <c r="E46" i="30"/>
  <c r="F46" i="30"/>
  <c r="B47" i="30"/>
  <c r="C47" i="30"/>
  <c r="D47" i="30"/>
  <c r="E47" i="30"/>
  <c r="F47" i="30"/>
  <c r="B48" i="30"/>
  <c r="C48" i="30"/>
  <c r="D48" i="30"/>
  <c r="E48" i="30"/>
  <c r="F48" i="30"/>
  <c r="B49" i="30"/>
  <c r="C49" i="30"/>
  <c r="D49" i="30"/>
  <c r="E49" i="30"/>
  <c r="F49" i="30"/>
  <c r="B50" i="30"/>
  <c r="C50" i="30"/>
  <c r="D50" i="30"/>
  <c r="E50" i="30"/>
  <c r="F50" i="30"/>
  <c r="B51" i="30"/>
  <c r="C51" i="30"/>
  <c r="D51" i="30"/>
  <c r="E51" i="30"/>
  <c r="F51" i="30"/>
  <c r="B52" i="30"/>
  <c r="C52" i="30"/>
  <c r="D52" i="30"/>
  <c r="E52" i="30"/>
  <c r="F52" i="30"/>
  <c r="B53" i="30"/>
  <c r="C53" i="30"/>
  <c r="D53" i="30"/>
  <c r="E53" i="30"/>
  <c r="F53" i="30"/>
  <c r="B54" i="30"/>
  <c r="C54" i="30"/>
  <c r="D54" i="30"/>
  <c r="E54" i="30"/>
  <c r="F54" i="30"/>
  <c r="B55" i="30"/>
  <c r="C55" i="30"/>
  <c r="D55" i="30"/>
  <c r="E55" i="30"/>
  <c r="F55" i="30"/>
  <c r="B56" i="30"/>
  <c r="C56" i="30"/>
  <c r="D56" i="30"/>
  <c r="E56" i="30"/>
  <c r="F56" i="30"/>
  <c r="B57" i="30"/>
  <c r="C57" i="30"/>
  <c r="D57" i="30"/>
  <c r="E57" i="30"/>
  <c r="F57" i="30"/>
  <c r="B58" i="30"/>
  <c r="C58" i="30"/>
  <c r="D58" i="30"/>
  <c r="E58" i="30"/>
  <c r="F58" i="30"/>
  <c r="B59" i="30"/>
  <c r="C59" i="30"/>
  <c r="D59" i="30"/>
  <c r="E59" i="30"/>
  <c r="F59" i="30"/>
  <c r="B60" i="30"/>
  <c r="C60" i="30"/>
  <c r="D60" i="30"/>
  <c r="E60" i="30"/>
  <c r="F60" i="30"/>
  <c r="B61" i="30"/>
  <c r="C61" i="30"/>
  <c r="D61" i="30"/>
  <c r="E61" i="30"/>
  <c r="F61" i="30"/>
  <c r="B62" i="30"/>
  <c r="C62" i="30"/>
  <c r="D62" i="30"/>
  <c r="E62" i="30"/>
  <c r="F62" i="30"/>
  <c r="B63" i="30"/>
  <c r="C63" i="30"/>
  <c r="D63" i="30"/>
  <c r="E63" i="30"/>
  <c r="F63" i="30"/>
  <c r="B64" i="30"/>
  <c r="C64" i="30"/>
  <c r="D64" i="30"/>
  <c r="E64" i="30"/>
  <c r="F64" i="30"/>
  <c r="B65" i="30"/>
  <c r="C65" i="30"/>
  <c r="D65" i="30"/>
  <c r="E65" i="30"/>
  <c r="F65" i="30"/>
  <c r="B66" i="30"/>
  <c r="C66" i="30"/>
  <c r="D66" i="30"/>
  <c r="E66" i="30"/>
  <c r="F66" i="30"/>
  <c r="B67" i="30"/>
  <c r="C67" i="30"/>
  <c r="D67" i="30"/>
  <c r="E67" i="30"/>
  <c r="F67" i="30"/>
  <c r="B68" i="30"/>
  <c r="C68" i="30"/>
  <c r="D68" i="30"/>
  <c r="E68" i="30"/>
  <c r="F68" i="30"/>
  <c r="B69" i="30"/>
  <c r="C69" i="30"/>
  <c r="D69" i="30"/>
  <c r="E69" i="30"/>
  <c r="F69" i="30"/>
  <c r="B70" i="30"/>
  <c r="C70" i="30"/>
  <c r="D70" i="30"/>
  <c r="E70" i="30"/>
  <c r="F70" i="30"/>
  <c r="B71" i="30"/>
  <c r="C71" i="30"/>
  <c r="D71" i="30"/>
  <c r="E71" i="30"/>
  <c r="F71" i="30"/>
  <c r="B72" i="30"/>
  <c r="C72" i="30"/>
  <c r="D72" i="30"/>
  <c r="E72" i="30"/>
  <c r="F72" i="30"/>
  <c r="B73" i="30"/>
  <c r="C73" i="30"/>
  <c r="D73" i="30"/>
  <c r="E73" i="30"/>
  <c r="F73" i="30"/>
  <c r="B74" i="30"/>
  <c r="C74" i="30"/>
  <c r="D74" i="30"/>
  <c r="E74" i="30"/>
  <c r="F74" i="30"/>
  <c r="B75" i="30"/>
  <c r="C75" i="30"/>
  <c r="D75" i="30"/>
  <c r="E75" i="30"/>
  <c r="F75" i="30"/>
  <c r="B76" i="30"/>
  <c r="C76" i="30"/>
  <c r="D76" i="30"/>
  <c r="E76" i="30"/>
  <c r="F76" i="30"/>
  <c r="B77" i="30"/>
  <c r="C77" i="30"/>
  <c r="D77" i="30"/>
  <c r="E77" i="30"/>
  <c r="F77" i="30"/>
  <c r="B78" i="30"/>
  <c r="C78" i="30"/>
  <c r="D78" i="30"/>
  <c r="E78" i="30"/>
  <c r="F78" i="30"/>
  <c r="B79" i="30"/>
  <c r="C79" i="30"/>
  <c r="D79" i="30"/>
  <c r="E79" i="30"/>
  <c r="F79" i="30"/>
  <c r="B80" i="30"/>
  <c r="C80" i="30"/>
  <c r="D80" i="30"/>
  <c r="E80" i="30"/>
  <c r="F80" i="30"/>
  <c r="B81" i="30"/>
  <c r="C81" i="30"/>
  <c r="D81" i="30"/>
  <c r="E81" i="30"/>
  <c r="F81" i="30"/>
  <c r="B82" i="30"/>
  <c r="C82" i="30"/>
  <c r="D82" i="30"/>
  <c r="E82" i="30"/>
  <c r="F82" i="30"/>
  <c r="B83" i="30"/>
  <c r="C83" i="30"/>
  <c r="D83" i="30"/>
  <c r="E83" i="30"/>
  <c r="F83" i="30"/>
  <c r="B84" i="30"/>
  <c r="C84" i="30"/>
  <c r="D84" i="30"/>
  <c r="E84" i="30"/>
  <c r="F84" i="30"/>
  <c r="B85" i="30"/>
  <c r="C85" i="30"/>
  <c r="D85" i="30"/>
  <c r="E85" i="30"/>
  <c r="F85" i="30"/>
  <c r="B86" i="30"/>
  <c r="C86" i="30"/>
  <c r="D86" i="30"/>
  <c r="E86" i="30"/>
  <c r="F86" i="30"/>
  <c r="B87" i="30"/>
  <c r="C87" i="30"/>
  <c r="D87" i="30"/>
  <c r="E87" i="30"/>
  <c r="F87" i="30"/>
  <c r="B88" i="30"/>
  <c r="C88" i="30"/>
  <c r="D88" i="30"/>
  <c r="E88" i="30"/>
  <c r="F88" i="30"/>
  <c r="B89" i="30"/>
  <c r="C89" i="30"/>
  <c r="D89" i="30"/>
  <c r="E89" i="30"/>
  <c r="F89" i="30"/>
  <c r="B90" i="30"/>
  <c r="C90" i="30"/>
  <c r="D90" i="30"/>
  <c r="E90" i="30"/>
  <c r="F90" i="30"/>
  <c r="B91" i="30"/>
  <c r="C91" i="30"/>
  <c r="D91" i="30"/>
  <c r="E91" i="30"/>
  <c r="F91" i="30"/>
  <c r="B92" i="30"/>
  <c r="C92" i="30"/>
  <c r="D92" i="30"/>
  <c r="E92" i="30"/>
  <c r="F92" i="30"/>
  <c r="B93" i="30"/>
  <c r="C93" i="30"/>
  <c r="D93" i="30"/>
  <c r="E93" i="30"/>
  <c r="F93" i="30"/>
  <c r="B94" i="30"/>
  <c r="C94" i="30"/>
  <c r="D94" i="30"/>
  <c r="E94" i="30"/>
  <c r="F94" i="30"/>
  <c r="B95" i="30"/>
  <c r="C95" i="30"/>
  <c r="D95" i="30"/>
  <c r="E95" i="30"/>
  <c r="F95" i="30"/>
  <c r="B96" i="30"/>
  <c r="C96" i="30"/>
  <c r="D96" i="30"/>
  <c r="E96" i="30"/>
  <c r="F96" i="30"/>
  <c r="B97" i="30"/>
  <c r="C97" i="30"/>
  <c r="D97" i="30"/>
  <c r="E97" i="30"/>
  <c r="F97" i="30"/>
  <c r="B98" i="30"/>
  <c r="C98" i="30"/>
  <c r="D98" i="30"/>
  <c r="E98" i="30"/>
  <c r="F98" i="30"/>
  <c r="B99" i="30"/>
  <c r="C99" i="30"/>
  <c r="D99" i="30"/>
  <c r="E99" i="30"/>
  <c r="F99" i="30"/>
  <c r="B100" i="30"/>
  <c r="C100" i="30"/>
  <c r="D100" i="30"/>
  <c r="E100" i="30"/>
  <c r="F100" i="30"/>
  <c r="B101" i="30"/>
  <c r="C101" i="30"/>
  <c r="D101" i="30"/>
  <c r="E101" i="30"/>
  <c r="F101" i="30"/>
  <c r="B102" i="30"/>
  <c r="C102" i="30"/>
  <c r="D102" i="30"/>
  <c r="E102" i="30"/>
  <c r="F102" i="30"/>
  <c r="B103" i="30"/>
  <c r="C103" i="30"/>
  <c r="D103" i="30"/>
  <c r="E103" i="30"/>
  <c r="F103" i="30"/>
  <c r="B104" i="30"/>
  <c r="C104" i="30"/>
  <c r="D104" i="30"/>
  <c r="E104" i="30"/>
  <c r="F104" i="30"/>
  <c r="B105" i="30"/>
  <c r="C105" i="30"/>
  <c r="D105" i="30"/>
  <c r="E105" i="30"/>
  <c r="F105" i="30"/>
  <c r="B106" i="30"/>
  <c r="C106" i="30"/>
  <c r="D106" i="30"/>
  <c r="E106" i="30"/>
  <c r="F106" i="30"/>
  <c r="B107" i="30"/>
  <c r="C107" i="30"/>
  <c r="D107" i="30"/>
  <c r="E107" i="30"/>
  <c r="F107" i="30"/>
  <c r="B108" i="30"/>
  <c r="C108" i="30"/>
  <c r="D108" i="30"/>
  <c r="E108" i="30"/>
  <c r="F108" i="30"/>
  <c r="B109" i="30"/>
  <c r="C109" i="30"/>
  <c r="D109" i="30"/>
  <c r="E109" i="30"/>
  <c r="F109" i="30"/>
  <c r="B110" i="30"/>
  <c r="C110" i="30"/>
  <c r="D110" i="30"/>
  <c r="E110" i="30"/>
  <c r="F110" i="30"/>
  <c r="B111" i="30"/>
  <c r="C111" i="30"/>
  <c r="D111" i="30"/>
  <c r="E111" i="30"/>
  <c r="F111" i="30"/>
  <c r="B112" i="30"/>
  <c r="C112" i="30"/>
  <c r="D112" i="30"/>
  <c r="E112" i="30"/>
  <c r="F112" i="30"/>
  <c r="B113" i="30"/>
  <c r="C113" i="30"/>
  <c r="D113" i="30"/>
  <c r="E113" i="30"/>
  <c r="F113" i="30"/>
  <c r="B114" i="30"/>
  <c r="C114" i="30"/>
  <c r="D114" i="30"/>
  <c r="E114" i="30"/>
  <c r="F114" i="30"/>
  <c r="B115" i="30"/>
  <c r="C115" i="30"/>
  <c r="D115" i="30"/>
  <c r="E115" i="30"/>
  <c r="F115" i="30"/>
  <c r="B116" i="30"/>
  <c r="C116" i="30"/>
  <c r="D116" i="30"/>
  <c r="E116" i="30"/>
  <c r="F116" i="30"/>
  <c r="B117" i="30"/>
  <c r="C117" i="30"/>
  <c r="D117" i="30"/>
  <c r="E117" i="30"/>
  <c r="F117" i="30"/>
  <c r="B118" i="30"/>
  <c r="C118" i="30"/>
  <c r="D118" i="30"/>
  <c r="E118" i="30"/>
  <c r="F118" i="30"/>
  <c r="B119" i="30"/>
  <c r="C119" i="30"/>
  <c r="D119" i="30"/>
  <c r="E119" i="30"/>
  <c r="F119" i="30"/>
  <c r="B120" i="30"/>
  <c r="C120" i="30"/>
  <c r="D120" i="30"/>
  <c r="E120" i="30"/>
  <c r="F120" i="30"/>
  <c r="B121" i="30"/>
  <c r="C121" i="30"/>
  <c r="D121" i="30"/>
  <c r="E121" i="30"/>
  <c r="F121" i="30"/>
  <c r="B122" i="30"/>
  <c r="C122" i="30"/>
  <c r="D122" i="30"/>
  <c r="E122" i="30"/>
  <c r="F122" i="30"/>
  <c r="B123" i="30"/>
  <c r="C123" i="30"/>
  <c r="D123" i="30"/>
  <c r="E123" i="30"/>
  <c r="F123" i="30"/>
  <c r="B124" i="30"/>
  <c r="C124" i="30"/>
  <c r="D124" i="30"/>
  <c r="E124" i="30"/>
  <c r="F124" i="30"/>
  <c r="B125" i="30"/>
  <c r="C125" i="30"/>
  <c r="D125" i="30"/>
  <c r="E125" i="30"/>
  <c r="F125" i="30"/>
  <c r="B126" i="30"/>
  <c r="C126" i="30"/>
  <c r="D126" i="30"/>
  <c r="E126" i="30"/>
  <c r="F126" i="30"/>
  <c r="B127" i="30"/>
  <c r="C127" i="30"/>
  <c r="D127" i="30"/>
  <c r="E127" i="30"/>
  <c r="F127" i="30"/>
  <c r="B128" i="30"/>
  <c r="C128" i="30"/>
  <c r="D128" i="30"/>
  <c r="E128" i="30"/>
  <c r="F128" i="30"/>
  <c r="B129" i="30"/>
  <c r="C129" i="30"/>
  <c r="D129" i="30"/>
  <c r="E129" i="30"/>
  <c r="F129" i="30"/>
  <c r="B130" i="30"/>
  <c r="C130" i="30"/>
  <c r="D130" i="30"/>
  <c r="E130" i="30"/>
  <c r="F130" i="30"/>
  <c r="B131" i="30"/>
  <c r="C131" i="30"/>
  <c r="D131" i="30"/>
  <c r="E131" i="30"/>
  <c r="F131" i="30"/>
  <c r="B132" i="30"/>
  <c r="C132" i="30"/>
  <c r="D132" i="30"/>
  <c r="E132" i="30"/>
  <c r="F132" i="30"/>
  <c r="B133" i="30"/>
  <c r="C133" i="30"/>
  <c r="D133" i="30"/>
  <c r="E133" i="30"/>
  <c r="F133" i="30"/>
  <c r="B134" i="30"/>
  <c r="C134" i="30"/>
  <c r="D134" i="30"/>
  <c r="E134" i="30"/>
  <c r="F134" i="30"/>
</calcChain>
</file>

<file path=xl/comments1.xml><?xml version="1.0" encoding="utf-8"?>
<comments xmlns="http://schemas.openxmlformats.org/spreadsheetml/2006/main">
  <authors>
    <author>Brent Hoover</author>
  </authors>
  <commentList>
    <comment ref="D3" authorId="0" shapeId="0">
      <text>
        <r>
          <rPr>
            <i/>
            <sz val="9"/>
            <color indexed="81"/>
            <rFont val="Tahoma"/>
            <family val="2"/>
          </rPr>
          <t>This is used for either revenue or equity deposit</t>
        </r>
      </text>
    </comment>
    <comment ref="E3" authorId="0" shapeId="0">
      <text>
        <r>
          <rPr>
            <i/>
            <sz val="9"/>
            <color indexed="81"/>
            <rFont val="Tahoma"/>
            <family val="2"/>
          </rPr>
          <t>All expenses are entered as NEGATIVE numbers in "Cash Out".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>
  <authors>
    <author>Brent Hoover</author>
  </authors>
  <commentList>
    <comment ref="C4" authorId="0" shapeId="0">
      <text>
        <r>
          <rPr>
            <b/>
            <sz val="9"/>
            <color indexed="81"/>
            <rFont val="Tahoma"/>
            <family val="2"/>
          </rPr>
          <t>Enter bank account balance for January 1st of the year at hand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>
  <authors>
    <author>Brent Hoover, MBA</author>
  </authors>
  <commentList>
    <comment ref="A5" authorId="0" shapeId="0">
      <text>
        <r>
          <rPr>
            <b/>
            <sz val="9"/>
            <color indexed="81"/>
            <rFont val="Palatino Linotype"/>
            <family val="2"/>
          </rPr>
          <t>Subtract line 2 from line 1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  <comment ref="A8" authorId="0" shapeId="0">
      <text>
        <r>
          <rPr>
            <b/>
            <sz val="9"/>
            <color indexed="81"/>
            <rFont val="Palatino Linotype"/>
            <family val="2"/>
          </rPr>
          <t>Including federal and state gasoline or fuel tax credit or refund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>
  <authors>
    <author>Brent Hoover</author>
    <author>Brent Hoover, MBA</author>
  </authors>
  <commentList>
    <comment ref="A3" authorId="0" shapeId="0">
      <text>
        <r>
          <rPr>
            <b/>
            <sz val="9"/>
            <color indexed="81"/>
            <rFont val="Tahoma"/>
            <family val="2"/>
          </rPr>
          <t>Cash basis accounting requires cost method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4" authorId="0" shapeId="0">
      <text>
        <r>
          <rPr>
            <b/>
            <sz val="9"/>
            <color indexed="81"/>
            <rFont val="Tahoma"/>
            <family val="2"/>
          </rPr>
          <t>If "Yes", attach explanation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5" authorId="0" shapeId="0">
      <text>
        <r>
          <rPr>
            <sz val="9"/>
            <color indexed="81"/>
            <rFont val="Tahoma"/>
            <family val="2"/>
          </rPr>
          <t xml:space="preserve">If different from last year's closing inventory, attach explanation to Schedule C
</t>
        </r>
      </text>
    </comment>
    <comment ref="A7" authorId="1" shapeId="0">
      <text>
        <r>
          <rPr>
            <b/>
            <sz val="9"/>
            <color indexed="81"/>
            <rFont val="Palatino Linotype"/>
            <family val="2"/>
          </rPr>
          <t>Do not include any amounts paid to yourself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>
  <authors>
    <author>Brent Hoover</author>
  </authors>
  <commentList>
    <comment ref="C4" authorId="0" shapeId="0">
      <text>
        <r>
          <rPr>
            <b/>
            <sz val="9"/>
            <color indexed="81"/>
            <rFont val="Tahoma"/>
            <family val="2"/>
          </rPr>
          <t>Enter amount of starting equity you will inject into business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6" authorId="0" shapeId="0">
      <text>
        <r>
          <rPr>
            <b/>
            <sz val="9"/>
            <color indexed="81"/>
            <rFont val="Tahoma"/>
            <charset val="1"/>
          </rPr>
          <t xml:space="preserve">Avg Baseline 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C10" authorId="0" shapeId="0">
      <text>
        <r>
          <rPr>
            <b/>
            <sz val="9"/>
            <color indexed="81"/>
            <rFont val="Tahoma"/>
            <charset val="1"/>
          </rPr>
          <t>Online social media advertising (e.g., Facebook, Instagram) plus billboard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D10" authorId="0" shapeId="0">
      <text>
        <r>
          <rPr>
            <sz val="9"/>
            <color indexed="81"/>
            <rFont val="Tahoma"/>
            <charset val="1"/>
          </rPr>
          <t xml:space="preserve">Monthly budget (online ads) and website domain fee
</t>
        </r>
      </text>
    </comment>
    <comment ref="D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E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F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G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H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I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J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K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L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M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N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O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C16" authorId="0" shapeId="0">
      <text>
        <r>
          <rPr>
            <b/>
            <sz val="9"/>
            <color indexed="81"/>
            <rFont val="Tahoma"/>
            <charset val="1"/>
          </rPr>
          <t>Operating agreement and customer contract template
Source: Turner Padgett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D16" authorId="0" shapeId="0">
      <text>
        <r>
          <rPr>
            <sz val="9"/>
            <color indexed="81"/>
            <rFont val="Tahoma"/>
            <charset val="1"/>
          </rPr>
          <t>CPA payroll fee plus attorney retainer fee
 plus QuickBooks online</t>
        </r>
      </text>
    </comment>
    <comment ref="C17" authorId="0" shapeId="0">
      <text>
        <r>
          <rPr>
            <b/>
            <sz val="9"/>
            <color indexed="81"/>
            <rFont val="Tahoma"/>
            <charset val="1"/>
          </rPr>
          <t>Ink, paper, etc.
Source: Staples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C19" authorId="0" shapeId="0">
      <text>
        <r>
          <rPr>
            <b/>
            <sz val="9"/>
            <color indexed="81"/>
            <rFont val="Tahoma"/>
            <charset val="1"/>
          </rPr>
          <t>Deposit for lot rental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D20" authorId="0" shapeId="0">
      <text>
        <r>
          <rPr>
            <b/>
            <sz val="9"/>
            <color indexed="81"/>
            <rFont val="Tahoma"/>
            <charset val="1"/>
          </rPr>
          <t>Monthly budget for car break-downs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C21" authorId="0" shapeId="0">
      <text>
        <r>
          <rPr>
            <b/>
            <sz val="9"/>
            <color indexed="81"/>
            <rFont val="Tahoma"/>
            <charset val="1"/>
          </rPr>
          <t>Car wash, tire shine, etc.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C24" authorId="0" shapeId="0">
      <text>
        <r>
          <rPr>
            <b/>
            <sz val="9"/>
            <color indexed="81"/>
            <rFont val="Tahoma"/>
            <charset val="1"/>
          </rPr>
          <t>Internet/phone, water and electricity
Source: AT&amp;T, Aiken County, Dominion Energy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C26" authorId="0" shapeId="0">
      <text>
        <r>
          <rPr>
            <b/>
            <sz val="9"/>
            <color indexed="81"/>
            <rFont val="Tahoma"/>
            <charset val="1"/>
          </rPr>
          <t>Fleet shipment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B28" authorId="0" shape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29" authorId="0" shape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36" authorId="0" shapeId="0">
      <text>
        <r>
          <rPr>
            <b/>
            <sz val="9"/>
            <color indexed="81"/>
            <rFont val="Tahoma"/>
            <family val="2"/>
          </rPr>
          <t>If the loan includes working capital, please include it here</t>
        </r>
      </text>
    </comment>
  </commentList>
</comments>
</file>

<file path=xl/comments6.xml><?xml version="1.0" encoding="utf-8"?>
<comments xmlns="http://schemas.openxmlformats.org/spreadsheetml/2006/main">
  <authors>
    <author>Brent Hoover</author>
  </authors>
  <commentList>
    <comment ref="D6" authorId="0" shapeId="0">
      <text>
        <r>
          <rPr>
            <b/>
            <sz val="9"/>
            <color indexed="81"/>
            <rFont val="Tahoma"/>
            <charset val="1"/>
          </rPr>
          <t xml:space="preserve">Avg Baseline 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C10" authorId="0" shapeId="0">
      <text>
        <r>
          <rPr>
            <sz val="9"/>
            <color indexed="81"/>
            <rFont val="Tahoma"/>
            <charset val="1"/>
          </rPr>
          <t xml:space="preserve">Monthly budget (online ads) and website domain fee
</t>
        </r>
      </text>
    </comment>
    <comment ref="C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D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E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F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G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H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I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J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K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L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M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N11" authorId="0" shapeId="0">
      <text>
        <r>
          <rPr>
            <b/>
            <sz val="9"/>
            <color indexed="81"/>
            <rFont val="Tahoma"/>
            <charset val="1"/>
          </rPr>
          <t>Filling up cars due to test drives by potential customers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C14" authorId="0" shapeId="0">
      <text>
        <r>
          <rPr>
            <b/>
            <sz val="9"/>
            <color indexed="81"/>
            <rFont val="Tahoma"/>
            <family val="2"/>
          </rPr>
          <t>Health and dental for employees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6" authorId="0" shapeId="0">
      <text>
        <r>
          <rPr>
            <sz val="9"/>
            <color indexed="81"/>
            <rFont val="Tahoma"/>
            <charset val="1"/>
          </rPr>
          <t>CPA payroll fee plus attorney retainer fee
 plus QuickBooks online</t>
        </r>
      </text>
    </comment>
    <comment ref="C20" authorId="0" shapeId="0">
      <text>
        <r>
          <rPr>
            <b/>
            <sz val="9"/>
            <color indexed="81"/>
            <rFont val="Tahoma"/>
            <charset val="1"/>
          </rPr>
          <t>Monthly budget for car break-downs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B28" authorId="0" shape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29" authorId="0" shape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7.xml><?xml version="1.0" encoding="utf-8"?>
<comments xmlns="http://schemas.openxmlformats.org/spreadsheetml/2006/main">
  <authors>
    <author>Brent Hoover</author>
  </authors>
  <commentList>
    <comment ref="B29" authorId="0" shape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30" authorId="0" shape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8.xml><?xml version="1.0" encoding="utf-8"?>
<comments xmlns="http://schemas.openxmlformats.org/spreadsheetml/2006/main">
  <authors>
    <author>Brent Hoover</author>
  </authors>
  <commentList>
    <comment ref="C9" authorId="0" shapeId="0">
      <text>
        <r>
          <rPr>
            <sz val="9"/>
            <color indexed="81"/>
            <rFont val="Tahoma"/>
            <family val="2"/>
          </rPr>
          <t xml:space="preserve">Input in Years, NOT months
</t>
        </r>
      </text>
    </comment>
  </commentList>
</comments>
</file>

<file path=xl/comments9.xml><?xml version="1.0" encoding="utf-8"?>
<comments xmlns="http://schemas.openxmlformats.org/spreadsheetml/2006/main">
  <authors>
    <author>Brent Hoover</author>
  </authors>
  <commentList>
    <comment ref="A2" authorId="0" shapeId="0">
      <text>
        <r>
          <rPr>
            <b/>
            <sz val="9"/>
            <color indexed="81"/>
            <rFont val="Tahoma"/>
            <charset val="1"/>
          </rPr>
          <t>Source: AllState</t>
        </r>
        <r>
          <rPr>
            <sz val="9"/>
            <color indexed="81"/>
            <rFont val="Tahoma"/>
            <charset val="1"/>
          </rPr>
          <t xml:space="preserve">
</t>
        </r>
      </text>
    </comment>
  </commentList>
</comments>
</file>

<file path=xl/connections.xml><?xml version="1.0" encoding="utf-8"?>
<connections xmlns="http://schemas.openxmlformats.org/spreadsheetml/2006/main">
  <connection id="1" keepAlive="1" name="ThisWorkbookDataModel" description="Data Model" type="5" refreshedVersion="6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name="WorksheetConnection_Cash Flow &amp; Records.xlsx!Ledger" type="102" refreshedVersion="6" minRefreshableVersion="5" saveData="1">
    <extLst>
      <ext xmlns:x15="http://schemas.microsoft.com/office/spreadsheetml/2010/11/main" uri="{DE250136-89BD-433C-8126-D09CA5730AF9}">
        <x15:connection id="Ledger">
          <x15:rangePr sourceName="_xlcn.WorksheetConnection_CashFlowRecords.xlsxLedger1"/>
        </x15:connection>
      </ext>
    </extLst>
  </connection>
</connections>
</file>

<file path=xl/sharedStrings.xml><?xml version="1.0" encoding="utf-8"?>
<sst xmlns="http://schemas.openxmlformats.org/spreadsheetml/2006/main" count="451" uniqueCount="230">
  <si>
    <t>Date</t>
  </si>
  <si>
    <t>Cash In</t>
  </si>
  <si>
    <t>Contract labor</t>
  </si>
  <si>
    <t>Supplies</t>
  </si>
  <si>
    <t>Advertising</t>
  </si>
  <si>
    <t>Reference #</t>
  </si>
  <si>
    <t>Cash Out</t>
  </si>
  <si>
    <t>Taxes and licenses</t>
  </si>
  <si>
    <t>Other expenses</t>
  </si>
  <si>
    <t>Gross receipts or sales</t>
  </si>
  <si>
    <t>Part I: Income</t>
  </si>
  <si>
    <t>Cost of goods sold</t>
  </si>
  <si>
    <t>Returns and allowances</t>
  </si>
  <si>
    <t>Gross profit</t>
  </si>
  <si>
    <t>Other income</t>
  </si>
  <si>
    <t>Gross income</t>
  </si>
  <si>
    <t>Part II: Expenses</t>
  </si>
  <si>
    <t>Car and truck expenses</t>
  </si>
  <si>
    <t>Commissions and fees</t>
  </si>
  <si>
    <t>Depletion</t>
  </si>
  <si>
    <t>Depreciation</t>
  </si>
  <si>
    <t>Employee benefit programs</t>
  </si>
  <si>
    <t>Insurance (other than health)</t>
  </si>
  <si>
    <t>Interest</t>
  </si>
  <si>
    <t>Mortgage</t>
  </si>
  <si>
    <t>Legal and professional services</t>
  </si>
  <si>
    <t>Office expense</t>
  </si>
  <si>
    <t>Pension and profit-sharing plans</t>
  </si>
  <si>
    <t>Rent or lease</t>
  </si>
  <si>
    <t>Vehicles, machinery, and equipment</t>
  </si>
  <si>
    <t>Other business property</t>
  </si>
  <si>
    <t>Repairs and maintenance</t>
  </si>
  <si>
    <t>Travel</t>
  </si>
  <si>
    <t>Deductible meals and entertainment</t>
  </si>
  <si>
    <t>Utilities</t>
  </si>
  <si>
    <t>Reserved for future use</t>
  </si>
  <si>
    <t>Total expense before</t>
  </si>
  <si>
    <t>Tentative profit or (loss)</t>
  </si>
  <si>
    <t>Expense for business use of home</t>
  </si>
  <si>
    <t>Net profit or (loss)</t>
  </si>
  <si>
    <t>Type</t>
  </si>
  <si>
    <t>Other Interest</t>
  </si>
  <si>
    <t>DBT</t>
  </si>
  <si>
    <t>CRT</t>
  </si>
  <si>
    <t>Check</t>
  </si>
  <si>
    <t>EFT</t>
  </si>
  <si>
    <t>Part III: Cost of Goods Sold</t>
  </si>
  <si>
    <t>Inventory at beginning of year</t>
  </si>
  <si>
    <t>Purchases less cost of items withdrawn for personal use</t>
  </si>
  <si>
    <t>Materials and supplies</t>
  </si>
  <si>
    <t>Other costs</t>
  </si>
  <si>
    <t>Add lines above</t>
  </si>
  <si>
    <t>Inventory at end of year</t>
  </si>
  <si>
    <t>Method(s) used to value closing inventory</t>
  </si>
  <si>
    <t>Cost</t>
  </si>
  <si>
    <t>Lower of cost or market</t>
  </si>
  <si>
    <t>Other (attach explanation to Schedule C)</t>
  </si>
  <si>
    <t>Was there any change in determining quantities, costs, or valuations between opening and closing inventory?</t>
  </si>
  <si>
    <t>Yes</t>
  </si>
  <si>
    <t>No</t>
  </si>
  <si>
    <t>Account</t>
  </si>
  <si>
    <t>January</t>
  </si>
  <si>
    <t>February</t>
  </si>
  <si>
    <t>March</t>
  </si>
  <si>
    <t>April</t>
  </si>
  <si>
    <t>May</t>
  </si>
  <si>
    <t>June</t>
  </si>
  <si>
    <t>July</t>
  </si>
  <si>
    <t>August</t>
  </si>
  <si>
    <t>September</t>
  </si>
  <si>
    <t>October</t>
  </si>
  <si>
    <t>November</t>
  </si>
  <si>
    <t>December</t>
  </si>
  <si>
    <t>Cost of Goods Sold</t>
  </si>
  <si>
    <t>Gross Receipts or Sales</t>
  </si>
  <si>
    <t>Gross Profit</t>
  </si>
  <si>
    <t>Total Monthly Expenses</t>
  </si>
  <si>
    <t>Net Cash</t>
  </si>
  <si>
    <t>Beginning Monthly Bank Balance</t>
  </si>
  <si>
    <t>Ending Monthly Bank Balance</t>
  </si>
  <si>
    <t>Self-Employment Tax</t>
  </si>
  <si>
    <t>Deduction for one-half of self-employment tax</t>
  </si>
  <si>
    <t>Net profit or (loss) from Schedule C</t>
  </si>
  <si>
    <t>Self-employment tax test</t>
  </si>
  <si>
    <t>Equity from personal sources</t>
  </si>
  <si>
    <t>Bank loan(s)</t>
  </si>
  <si>
    <t>Owner's withdrawal(s)</t>
  </si>
  <si>
    <t>Inventory</t>
  </si>
  <si>
    <t>Cash</t>
  </si>
  <si>
    <t>IRS Mileage Calculator</t>
  </si>
  <si>
    <t>Deductible Miles Expense</t>
  </si>
  <si>
    <t>IRS Mileage Rate</t>
  </si>
  <si>
    <t>Total Miles for Tax Year</t>
  </si>
  <si>
    <t xml:space="preserve">Calendar Working Cash Flow </t>
  </si>
  <si>
    <t>Click for IRS Rate</t>
  </si>
  <si>
    <t>Start-Up</t>
  </si>
  <si>
    <t>Rent or lease (Vehicles, machinery, and equipment)</t>
  </si>
  <si>
    <t>Rent or lease (Other business property)</t>
  </si>
  <si>
    <t>Licenses</t>
  </si>
  <si>
    <t>Wages (or salaries)</t>
  </si>
  <si>
    <t>Capital purchases</t>
  </si>
  <si>
    <t>Debt repayment</t>
  </si>
  <si>
    <t>Net Cash (added or subtracted)</t>
  </si>
  <si>
    <t xml:space="preserve">FUTA </t>
  </si>
  <si>
    <t xml:space="preserve">SUTA </t>
  </si>
  <si>
    <t>Payroll taxes</t>
  </si>
  <si>
    <t>Other taxes</t>
  </si>
  <si>
    <t>Forecasted Cash Flow Year 3</t>
  </si>
  <si>
    <t xml:space="preserve"> Loan Amortization</t>
  </si>
  <si>
    <t>Total Loan Amount</t>
  </si>
  <si>
    <t>Total Interest</t>
  </si>
  <si>
    <t>Down Payment %</t>
  </si>
  <si>
    <t>Down Payment Amount</t>
  </si>
  <si>
    <t>Loan Amount</t>
  </si>
  <si>
    <t>Loan Term</t>
  </si>
  <si>
    <t>Total Principal</t>
  </si>
  <si>
    <t>Rate</t>
  </si>
  <si>
    <t>Total Loan Value</t>
  </si>
  <si>
    <t>Payment</t>
  </si>
  <si>
    <t>Pmt #</t>
  </si>
  <si>
    <t>Beginning
Balance</t>
  </si>
  <si>
    <t>Principal</t>
  </si>
  <si>
    <t>Total Payment</t>
  </si>
  <si>
    <t>Ending
Balance</t>
  </si>
  <si>
    <t>Proceeds from loan</t>
  </si>
  <si>
    <t>Profit Margin</t>
  </si>
  <si>
    <t>Interest Coverage</t>
  </si>
  <si>
    <t>Deductible meals</t>
  </si>
  <si>
    <t xml:space="preserve">Deductible meals </t>
  </si>
  <si>
    <t>Wages</t>
  </si>
  <si>
    <t>Travel and meals</t>
  </si>
  <si>
    <t>Cost of labor. Do not include any amounts paid to yourself.</t>
  </si>
  <si>
    <t>Supplies (not included in Cost of Goods Sold)</t>
  </si>
  <si>
    <t>Wages (less employment credits)</t>
  </si>
  <si>
    <t>Interest: Mortgage (paid to banks, etc.)</t>
  </si>
  <si>
    <t>Interest: Other</t>
  </si>
  <si>
    <t>Rent or lease: Vehicles, machinery, and equipment</t>
  </si>
  <si>
    <t>Rent or lease: Other business property</t>
  </si>
  <si>
    <t>Proceeds from bank loan(s)</t>
  </si>
  <si>
    <t>Business Mileage Ledger</t>
  </si>
  <si>
    <t>General Ledger</t>
  </si>
  <si>
    <t>Name</t>
  </si>
  <si>
    <t>Memo/Description</t>
  </si>
  <si>
    <t>Self-Employment tax owed</t>
  </si>
  <si>
    <t>Company</t>
  </si>
  <si>
    <t>Email</t>
  </si>
  <si>
    <t>Phone</t>
  </si>
  <si>
    <t>Mobile</t>
  </si>
  <si>
    <t>Fax</t>
  </si>
  <si>
    <t>Website</t>
  </si>
  <si>
    <t>Street</t>
  </si>
  <si>
    <t>City</t>
  </si>
  <si>
    <t>State</t>
  </si>
  <si>
    <t>ZIP</t>
  </si>
  <si>
    <t>Country</t>
  </si>
  <si>
    <t>Opening Balance</t>
  </si>
  <si>
    <t>Opening Balance Date</t>
  </si>
  <si>
    <t>Tax Resale No.</t>
  </si>
  <si>
    <t>Customer Type</t>
  </si>
  <si>
    <t>Vendors</t>
  </si>
  <si>
    <t>Tax ID</t>
  </si>
  <si>
    <t>Mileage Purpose</t>
  </si>
  <si>
    <t>Ride-sharing driving</t>
  </si>
  <si>
    <t>Meeting with a client</t>
  </si>
  <si>
    <t>Dropping off supplies</t>
  </si>
  <si>
    <t>Delivery/drop off</t>
  </si>
  <si>
    <t xml:space="preserve">Business meeting </t>
  </si>
  <si>
    <t>Client meeting</t>
  </si>
  <si>
    <t>Trip Date</t>
  </si>
  <si>
    <t>Debt Service Coverage Ratio</t>
  </si>
  <si>
    <t>Miles</t>
  </si>
  <si>
    <t>Mileage Expense</t>
  </si>
  <si>
    <t>Odometer Start</t>
  </si>
  <si>
    <t>Odometer End</t>
  </si>
  <si>
    <t>Transaction Classification</t>
  </si>
  <si>
    <t>Month</t>
  </si>
  <si>
    <t>Number</t>
  </si>
  <si>
    <t>Calculation</t>
  </si>
  <si>
    <t>Calculation2</t>
  </si>
  <si>
    <t>Month3</t>
  </si>
  <si>
    <t>Total</t>
  </si>
  <si>
    <t>Schedule C</t>
  </si>
  <si>
    <t>Parker, Inc.</t>
  </si>
  <si>
    <t>Rent</t>
  </si>
  <si>
    <t>Hoover, LLC</t>
  </si>
  <si>
    <t>Starting Inventory</t>
  </si>
  <si>
    <t>Model</t>
  </si>
  <si>
    <t>Price Per Model</t>
  </si>
  <si>
    <t>Quantity</t>
  </si>
  <si>
    <t>Honda Civic</t>
  </si>
  <si>
    <t>Ford F150</t>
  </si>
  <si>
    <t>Ford Fusion</t>
  </si>
  <si>
    <t>Toyota Tacoma</t>
  </si>
  <si>
    <t>Insurance Policies</t>
  </si>
  <si>
    <t>Policy Type</t>
  </si>
  <si>
    <t>Premium</t>
  </si>
  <si>
    <t>General Liability</t>
  </si>
  <si>
    <t>Business Interruption</t>
  </si>
  <si>
    <t xml:space="preserve">Property (Auto) </t>
  </si>
  <si>
    <t>CP</t>
  </si>
  <si>
    <t>WC</t>
  </si>
  <si>
    <t>Cyber</t>
  </si>
  <si>
    <t>Inland Marine</t>
  </si>
  <si>
    <t>License Type</t>
  </si>
  <si>
    <t>Articles of Organization</t>
  </si>
  <si>
    <t>SC Sales Tax ID</t>
  </si>
  <si>
    <t>City of Aiken License</t>
  </si>
  <si>
    <t>Asset</t>
  </si>
  <si>
    <t>Capital Purchases</t>
  </si>
  <si>
    <t>Printer</t>
  </si>
  <si>
    <t>Chairs</t>
  </si>
  <si>
    <t>Total Cost</t>
  </si>
  <si>
    <t>Desks</t>
  </si>
  <si>
    <t>Dell Desktop</t>
  </si>
  <si>
    <t>Router</t>
  </si>
  <si>
    <t>Car Stuff</t>
  </si>
  <si>
    <t>Mechanic's Tools</t>
  </si>
  <si>
    <t>Employees</t>
  </si>
  <si>
    <t>Job Title</t>
  </si>
  <si>
    <t>Salary</t>
  </si>
  <si>
    <t>Monthly Cost</t>
  </si>
  <si>
    <t>Salesperson</t>
  </si>
  <si>
    <t>Admin</t>
  </si>
  <si>
    <t>Manager</t>
  </si>
  <si>
    <t>Mechanic</t>
  </si>
  <si>
    <t>Markup</t>
  </si>
  <si>
    <t>Timeline</t>
  </si>
  <si>
    <t>Values</t>
  </si>
  <si>
    <t>Forecast</t>
  </si>
  <si>
    <t>Confidence Interval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</si>
</sst>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8" formatCode="&quot;$&quot;#,##0.00_);[Red]\(&quot;$&quot;#,##0.00\)"/>
    <numFmt numFmtId="44" formatCode="_(&quot;$&quot;* #,##0.00_);_(&quot;$&quot;* \(#,##0.00\);_(&quot;$&quot;* &quot;-&quot;??_);_(@_)"/>
    <numFmt numFmtId="164" formatCode="_(&quot;$&quot;* #,##0_);_(&quot;$&quot;* \(#,##0\);_(&quot;$&quot;* &quot;-&quot;??_);_(@_)"/>
    <numFmt numFmtId="165" formatCode="_(&quot;$&quot;* #,##0.000_);_(&quot;$&quot;* \(#,##0.000\);_(&quot;$&quot;* &quot;-&quot;??_);_(@_)"/>
    <numFmt numFmtId="166" formatCode="0.0"/>
  </numFmts>
  <fonts count="53" x14ac:knownFonts="1">
    <font>
      <sz val="12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b/>
      <sz val="12"/>
      <color theme="0"/>
      <name val="Garamond"/>
      <family val="2"/>
      <scheme val="minor"/>
    </font>
    <font>
      <sz val="11"/>
      <color theme="1" tint="0.24994659260841701"/>
      <name val="Garamond"/>
      <family val="2"/>
      <scheme val="minor"/>
    </font>
    <font>
      <u/>
      <sz val="12"/>
      <color theme="10"/>
      <name val="Garamond"/>
      <family val="2"/>
      <scheme val="minor"/>
    </font>
    <font>
      <u/>
      <sz val="12"/>
      <color theme="11"/>
      <name val="Garamond"/>
      <family val="2"/>
      <scheme val="minor"/>
    </font>
    <font>
      <b/>
      <sz val="12"/>
      <color theme="1"/>
      <name val="Garamond"/>
      <family val="2"/>
      <scheme val="minor"/>
    </font>
    <font>
      <sz val="8"/>
      <name val="Garamond"/>
      <family val="2"/>
      <scheme val="minor"/>
    </font>
    <font>
      <b/>
      <sz val="15"/>
      <color theme="3"/>
      <name val="Garamond"/>
      <family val="2"/>
      <scheme val="minor"/>
    </font>
    <font>
      <b/>
      <sz val="13"/>
      <color theme="3"/>
      <name val="Garamond"/>
      <family val="2"/>
      <scheme val="minor"/>
    </font>
    <font>
      <sz val="9"/>
      <color indexed="81"/>
      <name val="Palatino Linotype"/>
      <family val="2"/>
    </font>
    <font>
      <b/>
      <sz val="9"/>
      <color indexed="81"/>
      <name val="Palatino Linotype"/>
      <family val="2"/>
    </font>
    <font>
      <b/>
      <sz val="13"/>
      <color theme="0"/>
      <name val="Garamond"/>
      <family val="1"/>
      <scheme val="minor"/>
    </font>
    <font>
      <sz val="12"/>
      <color theme="1"/>
      <name val="Palatino Linotype"/>
      <family val="1"/>
    </font>
    <font>
      <b/>
      <sz val="16"/>
      <color theme="1"/>
      <name val="Garamond"/>
      <family val="1"/>
      <scheme val="minor"/>
    </font>
    <font>
      <b/>
      <sz val="11"/>
      <color theme="1"/>
      <name val="Garamond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18"/>
      <color theme="3"/>
      <name val="Garamond"/>
      <family val="2"/>
      <scheme val="major"/>
    </font>
    <font>
      <b/>
      <sz val="11"/>
      <color theme="3"/>
      <name val="Garamond"/>
      <family val="2"/>
      <scheme val="minor"/>
    </font>
    <font>
      <sz val="11"/>
      <color theme="3"/>
      <name val="Garamond"/>
      <family val="1"/>
      <scheme val="minor"/>
    </font>
    <font>
      <b/>
      <sz val="11"/>
      <color theme="3"/>
      <name val="Garamond"/>
      <family val="1"/>
      <scheme val="minor"/>
    </font>
    <font>
      <sz val="12"/>
      <color theme="1"/>
      <name val="Garamond"/>
      <family val="1"/>
      <scheme val="minor"/>
    </font>
    <font>
      <b/>
      <sz val="18"/>
      <color theme="3"/>
      <name val="Garamond"/>
      <family val="2"/>
      <scheme val="major"/>
    </font>
    <font>
      <sz val="8"/>
      <name val="Arial"/>
      <family val="2"/>
    </font>
    <font>
      <sz val="12"/>
      <name val="Garamond"/>
      <family val="2"/>
      <scheme val="minor"/>
    </font>
    <font>
      <sz val="12"/>
      <color rgb="FF000000"/>
      <name val="Garamond"/>
      <family val="2"/>
      <scheme val="minor"/>
    </font>
    <font>
      <sz val="10"/>
      <name val="Arial"/>
      <family val="2"/>
    </font>
    <font>
      <sz val="12"/>
      <name val="Garamond"/>
      <family val="1"/>
      <scheme val="minor"/>
    </font>
    <font>
      <i/>
      <sz val="11"/>
      <color theme="1"/>
      <name val="Garamond"/>
      <family val="1"/>
      <scheme val="minor"/>
    </font>
    <font>
      <sz val="11"/>
      <color theme="0"/>
      <name val="Garamond"/>
      <family val="2"/>
      <scheme val="minor"/>
    </font>
    <font>
      <b/>
      <i/>
      <sz val="11"/>
      <color theme="3"/>
      <name val="Garamond"/>
      <family val="1"/>
      <scheme val="minor"/>
    </font>
    <font>
      <i/>
      <sz val="11"/>
      <color theme="3"/>
      <name val="Garamond"/>
      <family val="1"/>
      <scheme val="minor"/>
    </font>
    <font>
      <i/>
      <sz val="12"/>
      <color theme="1"/>
      <name val="Garamond"/>
      <family val="1"/>
      <scheme val="minor"/>
    </font>
    <font>
      <b/>
      <sz val="11"/>
      <color theme="1"/>
      <name val="Garamond"/>
      <family val="1"/>
      <scheme val="minor"/>
    </font>
    <font>
      <u/>
      <sz val="11"/>
      <color theme="10"/>
      <name val="Garamond"/>
      <family val="2"/>
      <scheme val="minor"/>
    </font>
    <font>
      <b/>
      <sz val="12"/>
      <color theme="1"/>
      <name val="Garamond"/>
      <family val="1"/>
      <scheme val="minor"/>
    </font>
    <font>
      <b/>
      <sz val="18"/>
      <color theme="3"/>
      <name val="Agency FB"/>
      <family val="2"/>
    </font>
    <font>
      <i/>
      <sz val="9"/>
      <color indexed="81"/>
      <name val="Tahoma"/>
      <family val="2"/>
    </font>
    <font>
      <b/>
      <sz val="36"/>
      <color theme="3"/>
      <name val="Agency FB"/>
      <family val="2"/>
    </font>
    <font>
      <sz val="11"/>
      <color theme="1"/>
      <name val="Garamond"/>
      <family val="1"/>
      <scheme val="minor"/>
    </font>
    <font>
      <b/>
      <sz val="18"/>
      <color theme="7"/>
      <name val="Agency FB"/>
      <family val="2"/>
    </font>
    <font>
      <sz val="12"/>
      <color theme="1"/>
      <name val="Garamond"/>
      <scheme val="minor"/>
    </font>
    <font>
      <sz val="9"/>
      <color indexed="81"/>
      <name val="Tahoma"/>
      <charset val="1"/>
    </font>
    <font>
      <b/>
      <sz val="9"/>
      <color indexed="81"/>
      <name val="Tahoma"/>
      <charset val="1"/>
    </font>
  </fonts>
  <fills count="24">
    <fill>
      <patternFill patternType="none"/>
    </fill>
    <fill>
      <patternFill patternType="gray125"/>
    </fill>
    <fill>
      <patternFill patternType="solid">
        <fgColor theme="4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8"/>
      </patternFill>
    </fill>
    <fill>
      <patternFill patternType="solid">
        <fgColor theme="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59999389629810485"/>
        <bgColor indexed="64"/>
      </patternFill>
    </fill>
    <fill>
      <gradientFill degree="270">
        <stop position="0">
          <color rgb="FFF1F1F1"/>
        </stop>
        <stop position="1">
          <color theme="5" tint="0.40000610370189521"/>
        </stop>
      </gradient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39997558519241921"/>
        <bgColor indexed="64"/>
      </patternFill>
    </fill>
  </fills>
  <borders count="25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thin">
        <color rgb="FF002060"/>
      </left>
      <right/>
      <top style="thin">
        <color rgb="FF002060"/>
      </top>
      <bottom style="thin">
        <color rgb="FF002060"/>
      </bottom>
      <diagonal/>
    </border>
    <border>
      <left style="thin">
        <color auto="1"/>
      </left>
      <right style="thin">
        <color auto="1"/>
      </right>
      <top style="thin">
        <color rgb="FF002060"/>
      </top>
      <bottom style="thin">
        <color rgb="FF00206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rgb="FF002060"/>
      </top>
      <bottom style="thin">
        <color rgb="FF002060"/>
      </bottom>
      <diagonal/>
    </border>
    <border>
      <left style="thin">
        <color auto="1"/>
      </left>
      <right style="medium">
        <color auto="1"/>
      </right>
      <top style="thin">
        <color rgb="FF002060"/>
      </top>
      <bottom style="thin">
        <color rgb="FF002060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 style="thin">
        <color rgb="FF002060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 style="thin">
        <color rgb="FF002060"/>
      </top>
      <bottom style="medium">
        <color auto="1"/>
      </bottom>
      <diagonal/>
    </border>
    <border>
      <left/>
      <right/>
      <top/>
      <bottom style="thick">
        <color rgb="FF83992A"/>
      </bottom>
      <diagonal/>
    </border>
  </borders>
  <cellStyleXfs count="133">
    <xf numFmtId="0" fontId="0" fillId="0" borderId="0"/>
    <xf numFmtId="0" fontId="10" fillId="2" borderId="0" applyNumberFormat="0" applyBorder="0" applyAlignment="0" applyProtection="0"/>
    <xf numFmtId="0" fontId="11" fillId="3" borderId="0" applyNumberFormat="0" applyBorder="0" applyAlignment="0" applyProtection="0"/>
    <xf numFmtId="0" fontId="10" fillId="4" borderId="0" applyNumberFormat="0" applyBorder="0" applyAlignment="0" applyProtection="0"/>
    <xf numFmtId="0" fontId="11" fillId="5" borderId="0" applyNumberFormat="0" applyBorder="0" applyAlignment="0" applyProtection="0"/>
    <xf numFmtId="0" fontId="10" fillId="6" borderId="0" applyNumberFormat="0" applyBorder="0" applyAlignment="0" applyProtection="0"/>
    <xf numFmtId="0" fontId="11" fillId="7" borderId="0" applyNumberFormat="0" applyBorder="0" applyAlignment="0" applyProtection="0"/>
    <xf numFmtId="0" fontId="10" fillId="8" borderId="0" applyNumberFormat="0" applyBorder="0" applyAlignment="0" applyProtection="0"/>
    <xf numFmtId="0" fontId="10" fillId="9" borderId="0" applyNumberFormat="0" applyBorder="0" applyAlignment="0" applyProtection="0"/>
    <xf numFmtId="44" fontId="9" fillId="0" borderId="0" applyFon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6" fillId="0" borderId="1" applyNumberFormat="0" applyFill="0" applyAlignment="0" applyProtection="0"/>
    <xf numFmtId="0" fontId="17" fillId="0" borderId="2" applyNumberFormat="0" applyFill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23" fillId="0" borderId="3" applyNumberFormat="0" applyFill="0" applyAlignment="0" applyProtection="0"/>
    <xf numFmtId="0" fontId="26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31" fillId="0" borderId="0" applyNumberFormat="0" applyFill="0" applyBorder="0" applyAlignment="0" applyProtection="0"/>
    <xf numFmtId="0" fontId="32" fillId="0" borderId="0"/>
    <xf numFmtId="44" fontId="35" fillId="0" borderId="0" applyFont="0" applyFill="0" applyBorder="0" applyAlignment="0" applyProtection="0"/>
    <xf numFmtId="9" fontId="35" fillId="0" borderId="0" applyFont="0" applyFill="0" applyBorder="0" applyAlignment="0" applyProtection="0"/>
    <xf numFmtId="0" fontId="6" fillId="17" borderId="0" applyNumberFormat="0" applyBorder="0" applyAlignment="0" applyProtection="0"/>
    <xf numFmtId="9" fontId="7" fillId="0" borderId="0" applyFont="0" applyFill="0" applyBorder="0" applyAlignment="0" applyProtection="0"/>
    <xf numFmtId="0" fontId="38" fillId="18" borderId="0" applyNumberFormat="0" applyBorder="0" applyAlignment="0" applyProtection="0"/>
    <xf numFmtId="0" fontId="5" fillId="0" borderId="0"/>
    <xf numFmtId="44" fontId="5" fillId="0" borderId="0" applyFont="0" applyFill="0" applyBorder="0" applyAlignment="0" applyProtection="0"/>
    <xf numFmtId="0" fontId="4" fillId="0" borderId="0"/>
    <xf numFmtId="0" fontId="43" fillId="0" borderId="0" applyNumberFormat="0" applyFill="0" applyBorder="0" applyAlignment="0" applyProtection="0"/>
    <xf numFmtId="44" fontId="4" fillId="0" borderId="0" applyFont="0" applyFill="0" applyBorder="0" applyAlignment="0" applyProtection="0"/>
    <xf numFmtId="0" fontId="3" fillId="20" borderId="0" applyNumberFormat="0" applyBorder="0" applyAlignment="0" applyProtection="0"/>
  </cellStyleXfs>
  <cellXfs count="157">
    <xf numFmtId="0" fontId="0" fillId="0" borderId="0" xfId="0"/>
    <xf numFmtId="44" fontId="0" fillId="0" borderId="0" xfId="9" applyFont="1"/>
    <xf numFmtId="0" fontId="14" fillId="0" borderId="0" xfId="0" applyFont="1" applyAlignment="1">
      <alignment horizontal="center"/>
    </xf>
    <xf numFmtId="0" fontId="14" fillId="0" borderId="0" xfId="0" applyFont="1"/>
    <xf numFmtId="0" fontId="0" fillId="0" borderId="0" xfId="0" applyFont="1" applyAlignment="1">
      <alignment horizontal="center"/>
    </xf>
    <xf numFmtId="44" fontId="0" fillId="0" borderId="0" xfId="9" applyFont="1" applyAlignment="1">
      <alignment horizontal="center"/>
    </xf>
    <xf numFmtId="14" fontId="0" fillId="0" borderId="0" xfId="0" applyNumberFormat="1" applyAlignment="1">
      <alignment horizontal="center"/>
    </xf>
    <xf numFmtId="0" fontId="0" fillId="0" borderId="0" xfId="0" applyAlignment="1">
      <alignment horizontal="left" indent="1"/>
    </xf>
    <xf numFmtId="0" fontId="0" fillId="0" borderId="0" xfId="0" applyAlignment="1">
      <alignment horizontal="center"/>
    </xf>
    <xf numFmtId="0" fontId="0" fillId="0" borderId="0" xfId="0" quotePrefix="1" applyAlignment="1">
      <alignment horizontal="center"/>
    </xf>
    <xf numFmtId="164" fontId="0" fillId="0" borderId="0" xfId="9" applyNumberFormat="1" applyFont="1"/>
    <xf numFmtId="164" fontId="14" fillId="0" borderId="3" xfId="9" applyNumberFormat="1" applyFont="1" applyBorder="1"/>
    <xf numFmtId="44" fontId="8" fillId="0" borderId="0" xfId="9" applyFont="1" applyAlignment="1">
      <alignment horizontal="center"/>
    </xf>
    <xf numFmtId="0" fontId="21" fillId="0" borderId="0" xfId="0" applyFont="1" applyAlignment="1">
      <alignment horizontal="center"/>
    </xf>
    <xf numFmtId="0" fontId="0" fillId="0" borderId="0" xfId="0" applyAlignment="1">
      <alignment horizontal="left"/>
    </xf>
    <xf numFmtId="0" fontId="27" fillId="0" borderId="0" xfId="118"/>
    <xf numFmtId="0" fontId="0" fillId="0" borderId="0" xfId="0" applyBorder="1"/>
    <xf numFmtId="0" fontId="0" fillId="0" borderId="0" xfId="0" applyProtection="1"/>
    <xf numFmtId="44" fontId="27" fillId="0" borderId="4" xfId="9" applyFont="1" applyBorder="1" applyAlignment="1" applyProtection="1">
      <alignment horizontal="center"/>
    </xf>
    <xf numFmtId="44" fontId="28" fillId="0" borderId="4" xfId="9" applyFont="1" applyBorder="1" applyProtection="1"/>
    <xf numFmtId="0" fontId="28" fillId="0" borderId="4" xfId="118" applyFont="1" applyBorder="1" applyProtection="1"/>
    <xf numFmtId="0" fontId="28" fillId="0" borderId="4" xfId="118" applyFont="1" applyBorder="1" applyAlignment="1" applyProtection="1">
      <alignment horizontal="left"/>
    </xf>
    <xf numFmtId="44" fontId="0" fillId="0" borderId="0" xfId="9" applyFont="1" applyProtection="1"/>
    <xf numFmtId="0" fontId="27" fillId="12" borderId="4" xfId="118" applyFill="1" applyBorder="1" applyProtection="1"/>
    <xf numFmtId="44" fontId="28" fillId="12" borderId="4" xfId="9" applyFont="1" applyFill="1" applyBorder="1" applyProtection="1"/>
    <xf numFmtId="0" fontId="27" fillId="13" borderId="4" xfId="118" applyFill="1" applyBorder="1" applyProtection="1"/>
    <xf numFmtId="44" fontId="28" fillId="13" borderId="4" xfId="9" applyFont="1" applyFill="1" applyBorder="1" applyProtection="1"/>
    <xf numFmtId="0" fontId="27" fillId="14" borderId="4" xfId="118" applyFill="1" applyBorder="1" applyProtection="1"/>
    <xf numFmtId="0" fontId="27" fillId="15" borderId="4" xfId="118" applyFill="1" applyBorder="1" applyProtection="1"/>
    <xf numFmtId="44" fontId="29" fillId="13" borderId="4" xfId="9" applyFont="1" applyFill="1" applyBorder="1" applyProtection="1"/>
    <xf numFmtId="0" fontId="28" fillId="12" borderId="4" xfId="118" applyFont="1" applyFill="1" applyBorder="1" applyProtection="1"/>
    <xf numFmtId="44" fontId="27" fillId="12" borderId="4" xfId="9" applyFont="1" applyFill="1" applyBorder="1" applyProtection="1"/>
    <xf numFmtId="44" fontId="23" fillId="0" borderId="3" xfId="116" applyNumberFormat="1"/>
    <xf numFmtId="164" fontId="27" fillId="0" borderId="3" xfId="118" applyNumberFormat="1" applyBorder="1"/>
    <xf numFmtId="0" fontId="28" fillId="0" borderId="0" xfId="118" applyFont="1"/>
    <xf numFmtId="164" fontId="28" fillId="0" borderId="0" xfId="118" applyNumberFormat="1" applyFont="1" applyAlignment="1">
      <alignment horizontal="center"/>
    </xf>
    <xf numFmtId="164" fontId="28" fillId="0" borderId="0" xfId="118" applyNumberFormat="1" applyFont="1"/>
    <xf numFmtId="164" fontId="28" fillId="0" borderId="3" xfId="118" applyNumberFormat="1" applyFont="1" applyBorder="1"/>
    <xf numFmtId="0" fontId="29" fillId="0" borderId="0" xfId="118" applyFont="1"/>
    <xf numFmtId="44" fontId="27" fillId="14" borderId="4" xfId="9" applyFont="1" applyFill="1" applyBorder="1" applyProtection="1"/>
    <xf numFmtId="44" fontId="29" fillId="15" borderId="4" xfId="9" applyFont="1" applyFill="1" applyBorder="1" applyProtection="1"/>
    <xf numFmtId="44" fontId="29" fillId="12" borderId="4" xfId="9" applyFont="1" applyFill="1" applyBorder="1" applyProtection="1"/>
    <xf numFmtId="165" fontId="0" fillId="0" borderId="0" xfId="9" applyNumberFormat="1" applyFont="1"/>
    <xf numFmtId="0" fontId="12" fillId="0" borderId="0" xfId="119"/>
    <xf numFmtId="3" fontId="0" fillId="0" borderId="0" xfId="9" applyNumberFormat="1" applyFont="1"/>
    <xf numFmtId="0" fontId="15" fillId="0" borderId="0" xfId="121" applyFont="1" applyFill="1" applyBorder="1"/>
    <xf numFmtId="0" fontId="32" fillId="0" borderId="0" xfId="121"/>
    <xf numFmtId="0" fontId="15" fillId="0" borderId="13" xfId="121" applyFont="1" applyFill="1" applyBorder="1"/>
    <xf numFmtId="0" fontId="33" fillId="0" borderId="0" xfId="121" applyFont="1" applyFill="1" applyBorder="1" applyAlignment="1"/>
    <xf numFmtId="0" fontId="33" fillId="0" borderId="14" xfId="121" applyFont="1" applyFill="1" applyBorder="1" applyAlignment="1">
      <alignment horizontal="center"/>
    </xf>
    <xf numFmtId="0" fontId="34" fillId="0" borderId="15" xfId="121" applyFont="1" applyFill="1" applyBorder="1" applyAlignment="1"/>
    <xf numFmtId="44" fontId="33" fillId="0" borderId="16" xfId="122" applyFont="1" applyFill="1" applyBorder="1" applyAlignment="1"/>
    <xf numFmtId="44" fontId="33" fillId="0" borderId="17" xfId="122" applyFont="1" applyFill="1" applyBorder="1" applyAlignment="1"/>
    <xf numFmtId="0" fontId="33" fillId="0" borderId="18" xfId="121" applyFont="1" applyFill="1" applyBorder="1" applyAlignment="1"/>
    <xf numFmtId="44" fontId="33" fillId="0" borderId="19" xfId="122" applyFont="1" applyFill="1" applyBorder="1" applyAlignment="1"/>
    <xf numFmtId="10" fontId="33" fillId="0" borderId="16" xfId="122" applyNumberFormat="1" applyFont="1" applyFill="1" applyBorder="1" applyAlignment="1"/>
    <xf numFmtId="0" fontId="33" fillId="0" borderId="15" xfId="121" applyFont="1" applyFill="1" applyBorder="1" applyAlignment="1"/>
    <xf numFmtId="0" fontId="33" fillId="0" borderId="16" xfId="122" applyNumberFormat="1" applyFont="1" applyFill="1" applyBorder="1" applyAlignment="1"/>
    <xf numFmtId="0" fontId="33" fillId="0" borderId="17" xfId="122" applyNumberFormat="1" applyFont="1" applyFill="1" applyBorder="1" applyAlignment="1"/>
    <xf numFmtId="8" fontId="33" fillId="0" borderId="16" xfId="122" applyNumberFormat="1" applyFont="1" applyFill="1" applyBorder="1" applyAlignment="1"/>
    <xf numFmtId="0" fontId="32" fillId="0" borderId="0" xfId="121" applyBorder="1"/>
    <xf numFmtId="0" fontId="15" fillId="0" borderId="20" xfId="121" applyFont="1" applyFill="1" applyBorder="1"/>
    <xf numFmtId="0" fontId="33" fillId="0" borderId="21" xfId="121" applyNumberFormat="1" applyFont="1" applyFill="1" applyBorder="1" applyAlignment="1"/>
    <xf numFmtId="0" fontId="33" fillId="0" borderId="21" xfId="123" applyNumberFormat="1" applyFont="1" applyFill="1" applyBorder="1" applyAlignment="1">
      <alignment horizontal="center"/>
    </xf>
    <xf numFmtId="0" fontId="33" fillId="0" borderId="22" xfId="123" applyNumberFormat="1" applyFont="1" applyFill="1" applyBorder="1" applyAlignment="1">
      <alignment horizontal="center"/>
    </xf>
    <xf numFmtId="0" fontId="15" fillId="0" borderId="21" xfId="121" applyNumberFormat="1" applyFont="1" applyFill="1" applyBorder="1"/>
    <xf numFmtId="0" fontId="15" fillId="0" borderId="23" xfId="121" applyNumberFormat="1" applyFont="1" applyFill="1" applyBorder="1"/>
    <xf numFmtId="0" fontId="23" fillId="0" borderId="4" xfId="121" applyFont="1" applyBorder="1" applyAlignment="1">
      <alignment horizontal="center"/>
    </xf>
    <xf numFmtId="0" fontId="23" fillId="0" borderId="4" xfId="121" applyFont="1" applyBorder="1" applyAlignment="1">
      <alignment horizontal="center" wrapText="1"/>
    </xf>
    <xf numFmtId="44" fontId="30" fillId="0" borderId="4" xfId="122" applyFont="1" applyBorder="1"/>
    <xf numFmtId="0" fontId="36" fillId="0" borderId="4" xfId="121" applyFont="1" applyBorder="1"/>
    <xf numFmtId="44" fontId="36" fillId="0" borderId="4" xfId="121" applyNumberFormat="1" applyFont="1" applyBorder="1"/>
    <xf numFmtId="0" fontId="37" fillId="17" borderId="4" xfId="124" applyFont="1" applyBorder="1"/>
    <xf numFmtId="9" fontId="37" fillId="17" borderId="4" xfId="125" applyFont="1" applyFill="1" applyBorder="1"/>
    <xf numFmtId="2" fontId="37" fillId="17" borderId="4" xfId="124" applyNumberFormat="1" applyFont="1" applyBorder="1"/>
    <xf numFmtId="166" fontId="37" fillId="17" borderId="4" xfId="124" applyNumberFormat="1" applyFont="1" applyBorder="1"/>
    <xf numFmtId="164" fontId="38" fillId="18" borderId="0" xfId="126" applyNumberFormat="1"/>
    <xf numFmtId="0" fontId="39" fillId="12" borderId="4" xfId="118" applyFont="1" applyFill="1" applyBorder="1" applyProtection="1"/>
    <xf numFmtId="44" fontId="39" fillId="12" borderId="4" xfId="9" applyFont="1" applyFill="1" applyBorder="1" applyProtection="1"/>
    <xf numFmtId="0" fontId="38" fillId="18" borderId="0" xfId="126" applyNumberFormat="1"/>
    <xf numFmtId="0" fontId="38" fillId="18" borderId="4" xfId="126" applyNumberFormat="1" applyBorder="1"/>
    <xf numFmtId="44" fontId="0" fillId="0" borderId="0" xfId="0" applyNumberFormat="1"/>
    <xf numFmtId="44" fontId="28" fillId="0" borderId="17" xfId="9" applyFont="1" applyFill="1" applyBorder="1" applyProtection="1"/>
    <xf numFmtId="14" fontId="5" fillId="0" borderId="0" xfId="127" applyNumberFormat="1" applyAlignment="1">
      <alignment horizontal="center"/>
    </xf>
    <xf numFmtId="0" fontId="5" fillId="0" borderId="0" xfId="127" applyAlignment="1">
      <alignment horizontal="center"/>
    </xf>
    <xf numFmtId="0" fontId="40" fillId="0" borderId="0" xfId="118" applyFont="1"/>
    <xf numFmtId="44" fontId="41" fillId="0" borderId="0" xfId="9" applyFont="1"/>
    <xf numFmtId="0" fontId="0" fillId="0" borderId="0" xfId="0" applyAlignment="1">
      <alignment horizontal="center" vertical="center"/>
    </xf>
    <xf numFmtId="0" fontId="4" fillId="0" borderId="0" xfId="129"/>
    <xf numFmtId="0" fontId="42" fillId="0" borderId="0" xfId="129" applyFont="1" applyAlignment="1">
      <alignment horizontal="center"/>
    </xf>
    <xf numFmtId="14" fontId="4" fillId="0" borderId="0" xfId="129" applyNumberFormat="1"/>
    <xf numFmtId="0" fontId="27" fillId="21" borderId="4" xfId="118" applyFill="1" applyBorder="1" applyProtection="1"/>
    <xf numFmtId="44" fontId="28" fillId="21" borderId="4" xfId="9" applyFont="1" applyFill="1" applyBorder="1" applyProtection="1"/>
    <xf numFmtId="0" fontId="27" fillId="22" borderId="4" xfId="118" applyFill="1" applyBorder="1" applyProtection="1"/>
    <xf numFmtId="44" fontId="27" fillId="22" borderId="4" xfId="9" applyFont="1" applyFill="1" applyBorder="1" applyProtection="1"/>
    <xf numFmtId="0" fontId="27" fillId="23" borderId="4" xfId="118" applyFill="1" applyBorder="1" applyProtection="1"/>
    <xf numFmtId="44" fontId="27" fillId="23" borderId="4" xfId="9" applyFont="1" applyFill="1" applyBorder="1" applyProtection="1"/>
    <xf numFmtId="14" fontId="3" fillId="0" borderId="0" xfId="127" applyNumberFormat="1" applyFont="1" applyAlignment="1">
      <alignment horizontal="center" vertical="center"/>
    </xf>
    <xf numFmtId="0" fontId="42" fillId="20" borderId="4" xfId="132" applyFont="1" applyBorder="1" applyProtection="1"/>
    <xf numFmtId="44" fontId="42" fillId="20" borderId="4" xfId="132" applyNumberFormat="1" applyFont="1" applyBorder="1" applyProtection="1"/>
    <xf numFmtId="0" fontId="0" fillId="0" borderId="0" xfId="0" applyNumberFormat="1"/>
    <xf numFmtId="2" fontId="0" fillId="0" borderId="0" xfId="0" applyNumberFormat="1"/>
    <xf numFmtId="0" fontId="44" fillId="0" borderId="0" xfId="0" applyFont="1"/>
    <xf numFmtId="1" fontId="0" fillId="0" borderId="0" xfId="0" applyNumberFormat="1" applyAlignment="1">
      <alignment horizontal="center"/>
    </xf>
    <xf numFmtId="44" fontId="5" fillId="0" borderId="0" xfId="9" applyFont="1" applyAlignment="1">
      <alignment horizontal="center"/>
    </xf>
    <xf numFmtId="44" fontId="14" fillId="0" borderId="0" xfId="9" applyFont="1" applyAlignment="1">
      <alignment horizontal="center"/>
    </xf>
    <xf numFmtId="44" fontId="7" fillId="0" borderId="0" xfId="9" applyFont="1" applyAlignment="1">
      <alignment horizontal="center"/>
    </xf>
    <xf numFmtId="0" fontId="0" fillId="0" borderId="0" xfId="0" applyAlignment="1">
      <alignment horizontal="center"/>
    </xf>
    <xf numFmtId="0" fontId="0" fillId="0" borderId="0" xfId="0" applyNumberFormat="1" applyAlignment="1">
      <alignment horizontal="center" vertical="center"/>
    </xf>
    <xf numFmtId="0" fontId="7" fillId="0" borderId="0" xfId="9" applyNumberFormat="1" applyFont="1" applyAlignment="1">
      <alignment horizontal="center"/>
    </xf>
    <xf numFmtId="0" fontId="5" fillId="0" borderId="0" xfId="9" applyNumberFormat="1" applyFont="1" applyAlignment="1">
      <alignment horizontal="center"/>
    </xf>
    <xf numFmtId="0" fontId="14" fillId="0" borderId="0" xfId="9" applyNumberFormat="1" applyFont="1" applyAlignment="1">
      <alignment horizontal="center"/>
    </xf>
    <xf numFmtId="0" fontId="0" fillId="0" borderId="0" xfId="9" applyNumberFormat="1" applyFont="1" applyAlignment="1">
      <alignment horizontal="center"/>
    </xf>
    <xf numFmtId="2" fontId="0" fillId="0" borderId="0" xfId="0" applyNumberFormat="1" applyAlignment="1">
      <alignment horizontal="center"/>
    </xf>
    <xf numFmtId="0" fontId="48" fillId="0" borderId="0" xfId="129" applyFont="1" applyAlignment="1">
      <alignment horizontal="center"/>
    </xf>
    <xf numFmtId="0" fontId="48" fillId="0" borderId="24" xfId="129" applyFont="1" applyFill="1" applyBorder="1" applyAlignment="1">
      <alignment horizontal="center"/>
    </xf>
    <xf numFmtId="0" fontId="2" fillId="0" borderId="0" xfId="127" applyNumberFormat="1" applyFont="1" applyAlignment="1">
      <alignment horizontal="left"/>
    </xf>
    <xf numFmtId="0" fontId="2" fillId="0" borderId="0" xfId="127" applyFont="1" applyAlignment="1">
      <alignment horizontal="left"/>
    </xf>
    <xf numFmtId="0" fontId="12" fillId="0" borderId="0" xfId="119" applyAlignment="1">
      <alignment horizontal="left"/>
    </xf>
    <xf numFmtId="0" fontId="0" fillId="0" borderId="0" xfId="9" applyNumberFormat="1" applyFont="1" applyAlignment="1">
      <alignment horizontal="left"/>
    </xf>
    <xf numFmtId="0" fontId="2" fillId="0" borderId="0" xfId="9" applyNumberFormat="1" applyFont="1" applyAlignment="1">
      <alignment horizontal="left"/>
    </xf>
    <xf numFmtId="0" fontId="12" fillId="0" borderId="0" xfId="119" applyNumberFormat="1" applyAlignment="1">
      <alignment horizontal="left"/>
    </xf>
    <xf numFmtId="0" fontId="0" fillId="0" borderId="0" xfId="0" applyNumberFormat="1" applyAlignment="1">
      <alignment horizontal="center"/>
    </xf>
    <xf numFmtId="0" fontId="48" fillId="0" borderId="0" xfId="0" applyNumberFormat="1" applyFont="1" applyFill="1" applyBorder="1" applyAlignment="1" applyProtection="1">
      <alignment horizontal="center"/>
    </xf>
    <xf numFmtId="0" fontId="30" fillId="0" borderId="0" xfId="0" applyFont="1" applyFill="1" applyBorder="1" applyAlignment="1" applyProtection="1"/>
    <xf numFmtId="0" fontId="48" fillId="0" borderId="0" xfId="0" applyNumberFormat="1" applyFont="1" applyFill="1" applyBorder="1" applyAlignment="1" applyProtection="1"/>
    <xf numFmtId="44" fontId="48" fillId="0" borderId="0" xfId="0" applyNumberFormat="1" applyFont="1" applyFill="1" applyBorder="1" applyAlignment="1" applyProtection="1">
      <alignment horizontal="center"/>
    </xf>
    <xf numFmtId="0" fontId="1" fillId="0" borderId="0" xfId="127" applyFont="1" applyAlignment="1">
      <alignment horizontal="center"/>
    </xf>
    <xf numFmtId="44" fontId="50" fillId="0" borderId="0" xfId="9" applyFont="1"/>
    <xf numFmtId="44" fontId="50" fillId="0" borderId="0" xfId="0" applyNumberFormat="1" applyFont="1"/>
    <xf numFmtId="0" fontId="50" fillId="0" borderId="0" xfId="0" applyNumberFormat="1" applyFont="1"/>
    <xf numFmtId="14" fontId="45" fillId="0" borderId="0" xfId="117" applyNumberFormat="1" applyFont="1" applyAlignment="1">
      <alignment horizontal="center" vertical="center"/>
    </xf>
    <xf numFmtId="14" fontId="45" fillId="0" borderId="0" xfId="118" applyNumberFormat="1" applyFont="1" applyAlignment="1">
      <alignment horizontal="center" vertical="center"/>
    </xf>
    <xf numFmtId="0" fontId="47" fillId="0" borderId="0" xfId="118" applyFont="1" applyBorder="1" applyAlignment="1" applyProtection="1">
      <alignment horizontal="center" vertical="center"/>
    </xf>
    <xf numFmtId="14" fontId="49" fillId="0" borderId="0" xfId="118" applyNumberFormat="1" applyFont="1" applyAlignment="1">
      <alignment horizontal="center" vertical="center"/>
    </xf>
    <xf numFmtId="0" fontId="45" fillId="0" borderId="0" xfId="117" applyFont="1" applyAlignment="1">
      <alignment horizontal="center"/>
    </xf>
    <xf numFmtId="0" fontId="4" fillId="0" borderId="0" xfId="129" applyAlignment="1">
      <alignment horizontal="center"/>
    </xf>
    <xf numFmtId="14" fontId="22" fillId="11" borderId="0" xfId="0" applyNumberFormat="1" applyFont="1" applyFill="1" applyAlignment="1">
      <alignment horizontal="center"/>
    </xf>
    <xf numFmtId="0" fontId="22" fillId="11" borderId="0" xfId="0" applyFont="1" applyFill="1" applyAlignment="1">
      <alignment horizontal="center"/>
    </xf>
    <xf numFmtId="0" fontId="20" fillId="10" borderId="2" xfId="83" applyFont="1" applyFill="1" applyAlignment="1">
      <alignment horizontal="center"/>
    </xf>
    <xf numFmtId="0" fontId="20" fillId="19" borderId="2" xfId="83" applyFont="1" applyFill="1" applyAlignment="1">
      <alignment horizontal="center"/>
    </xf>
    <xf numFmtId="14" fontId="26" fillId="0" borderId="0" xfId="117" applyNumberFormat="1" applyBorder="1" applyAlignment="1" applyProtection="1">
      <alignment horizontal="center"/>
    </xf>
    <xf numFmtId="0" fontId="26" fillId="0" borderId="0" xfId="117" applyBorder="1" applyAlignment="1" applyProtection="1">
      <alignment horizontal="center"/>
    </xf>
    <xf numFmtId="14" fontId="31" fillId="16" borderId="5" xfId="120" applyNumberFormat="1" applyFont="1" applyFill="1" applyBorder="1" applyAlignment="1">
      <alignment horizontal="center" vertical="center" wrapText="1"/>
    </xf>
    <xf numFmtId="0" fontId="31" fillId="16" borderId="6" xfId="120" applyFont="1" applyFill="1" applyBorder="1" applyAlignment="1">
      <alignment horizontal="center" vertical="center" wrapText="1"/>
    </xf>
    <xf numFmtId="0" fontId="31" fillId="16" borderId="7" xfId="120" applyFont="1" applyFill="1" applyBorder="1" applyAlignment="1">
      <alignment horizontal="center" vertical="center" wrapText="1"/>
    </xf>
    <xf numFmtId="0" fontId="31" fillId="16" borderId="8" xfId="120" applyFont="1" applyFill="1" applyBorder="1" applyAlignment="1">
      <alignment horizontal="center" vertical="center" wrapText="1"/>
    </xf>
    <xf numFmtId="0" fontId="31" fillId="16" borderId="0" xfId="120" applyFont="1" applyFill="1" applyBorder="1" applyAlignment="1">
      <alignment horizontal="center" vertical="center" wrapText="1"/>
    </xf>
    <xf numFmtId="0" fontId="31" fillId="16" borderId="9" xfId="120" applyFont="1" applyFill="1" applyBorder="1" applyAlignment="1">
      <alignment horizontal="center" vertical="center" wrapText="1"/>
    </xf>
    <xf numFmtId="0" fontId="16" fillId="0" borderId="10" xfId="82" applyFill="1" applyBorder="1" applyAlignment="1">
      <alignment horizontal="center"/>
    </xf>
    <xf numFmtId="0" fontId="16" fillId="0" borderId="11" xfId="82" applyFill="1" applyBorder="1" applyAlignment="1">
      <alignment horizontal="center"/>
    </xf>
    <xf numFmtId="0" fontId="16" fillId="0" borderId="12" xfId="82" applyFill="1" applyBorder="1" applyAlignment="1">
      <alignment horizontal="center"/>
    </xf>
    <xf numFmtId="0" fontId="31" fillId="0" borderId="0" xfId="120" applyAlignment="1">
      <alignment horizontal="center"/>
    </xf>
    <xf numFmtId="0" fontId="26" fillId="0" borderId="0" xfId="117" applyAlignment="1">
      <alignment horizontal="center"/>
    </xf>
    <xf numFmtId="166" fontId="0" fillId="0" borderId="0" xfId="0" applyNumberFormat="1"/>
    <xf numFmtId="14" fontId="0" fillId="0" borderId="0" xfId="0" applyNumberFormat="1"/>
    <xf numFmtId="44" fontId="0" fillId="0" borderId="0" xfId="0" applyNumberFormat="1"/>
  </cellXfs>
  <cellStyles count="133">
    <cellStyle name="20% - Accent2" xfId="132" builtinId="34"/>
    <cellStyle name="40% - Accent6" xfId="124" builtinId="51"/>
    <cellStyle name="60% - Accent1" xfId="2" builtinId="32" customBuiltin="1"/>
    <cellStyle name="60% - Accent2" xfId="4" builtinId="36" customBuiltin="1"/>
    <cellStyle name="60% - Accent3" xfId="6" builtinId="40" customBuiltin="1"/>
    <cellStyle name="60% - Accent6" xfId="126" builtinId="52"/>
    <cellStyle name="Accent1" xfId="1" builtinId="29" customBuiltin="1"/>
    <cellStyle name="Accent2" xfId="3" builtinId="33" customBuiltin="1"/>
    <cellStyle name="Accent3" xfId="5" builtinId="37" customBuiltin="1"/>
    <cellStyle name="Accent4" xfId="7" builtinId="41" customBuiltin="1"/>
    <cellStyle name="Accent5" xfId="8" builtinId="45" customBuiltin="1"/>
    <cellStyle name="Currency" xfId="9" builtinId="4"/>
    <cellStyle name="Currency 2" xfId="122"/>
    <cellStyle name="Currency 3" xfId="128"/>
    <cellStyle name="Currency 4" xfId="131"/>
    <cellStyle name="Followed Hyperlink" xfId="11" builtinId="9" hidden="1"/>
    <cellStyle name="Followed Hyperlink" xfId="13" builtinId="9" hidden="1"/>
    <cellStyle name="Followed Hyperlink" xfId="15" builtinId="9" hidden="1"/>
    <cellStyle name="Followed Hyperlink" xfId="17" builtinId="9" hidden="1"/>
    <cellStyle name="Followed Hyperlink" xfId="19" builtinId="9" hidden="1"/>
    <cellStyle name="Followed Hyperlink" xfId="21" builtinId="9" hidden="1"/>
    <cellStyle name="Followed Hyperlink" xfId="23" builtinId="9" hidden="1"/>
    <cellStyle name="Followed Hyperlink" xfId="25" builtinId="9" hidden="1"/>
    <cellStyle name="Followed Hyperlink" xfId="27" builtinId="9" hidden="1"/>
    <cellStyle name="Followed Hyperlink" xfId="29" builtinId="9" hidden="1"/>
    <cellStyle name="Followed Hyperlink" xfId="31" builtinId="9" hidden="1"/>
    <cellStyle name="Followed Hyperlink" xfId="33" builtinId="9" hidden="1"/>
    <cellStyle name="Followed Hyperlink" xfId="35" builtinId="9" hidden="1"/>
    <cellStyle name="Followed Hyperlink" xfId="37" builtinId="9" hidden="1"/>
    <cellStyle name="Followed Hyperlink" xfId="39" builtinId="9" hidden="1"/>
    <cellStyle name="Followed Hyperlink" xfId="41" builtinId="9" hidden="1"/>
    <cellStyle name="Followed Hyperlink" xfId="43" builtinId="9" hidden="1"/>
    <cellStyle name="Followed Hyperlink" xfId="45" builtinId="9" hidden="1"/>
    <cellStyle name="Followed Hyperlink" xfId="47" builtinId="9" hidden="1"/>
    <cellStyle name="Followed Hyperlink" xfId="49" builtinId="9" hidden="1"/>
    <cellStyle name="Followed Hyperlink" xfId="51" builtinId="9" hidden="1"/>
    <cellStyle name="Followed Hyperlink" xfId="53" builtinId="9" hidden="1"/>
    <cellStyle name="Followed Hyperlink" xfId="55" builtinId="9" hidden="1"/>
    <cellStyle name="Followed Hyperlink" xfId="57" builtinId="9" hidden="1"/>
    <cellStyle name="Followed Hyperlink" xfId="59" builtinId="9" hidden="1"/>
    <cellStyle name="Followed Hyperlink" xfId="61" builtinId="9" hidden="1"/>
    <cellStyle name="Followed Hyperlink" xfId="63" builtinId="9" hidden="1"/>
    <cellStyle name="Followed Hyperlink" xfId="65" builtinId="9" hidden="1"/>
    <cellStyle name="Followed Hyperlink" xfId="67" builtinId="9" hidden="1"/>
    <cellStyle name="Followed Hyperlink" xfId="69" builtinId="9" hidden="1"/>
    <cellStyle name="Followed Hyperlink" xfId="71" builtinId="9" hidden="1"/>
    <cellStyle name="Followed Hyperlink" xfId="73" builtinId="9" hidden="1"/>
    <cellStyle name="Followed Hyperlink" xfId="75" builtinId="9" hidden="1"/>
    <cellStyle name="Followed Hyperlink" xfId="77" builtinId="9" hidden="1"/>
    <cellStyle name="Followed Hyperlink" xfId="79" builtinId="9" hidden="1"/>
    <cellStyle name="Followed Hyperlink" xfId="81" builtinId="9" hidden="1"/>
    <cellStyle name="Followed Hyperlink" xfId="85" builtinId="9" hidden="1"/>
    <cellStyle name="Followed Hyperlink" xfId="87" builtinId="9" hidden="1"/>
    <cellStyle name="Followed Hyperlink" xfId="89" builtinId="9" hidden="1"/>
    <cellStyle name="Followed Hyperlink" xfId="91" builtinId="9" hidden="1"/>
    <cellStyle name="Followed Hyperlink" xfId="93" builtinId="9" hidden="1"/>
    <cellStyle name="Followed Hyperlink" xfId="95" builtinId="9" hidden="1"/>
    <cellStyle name="Followed Hyperlink" xfId="97" builtinId="9" hidden="1"/>
    <cellStyle name="Followed Hyperlink" xfId="99" builtinId="9" hidden="1"/>
    <cellStyle name="Followed Hyperlink" xfId="101" builtinId="9" hidden="1"/>
    <cellStyle name="Followed Hyperlink" xfId="103" builtinId="9" hidden="1"/>
    <cellStyle name="Followed Hyperlink" xfId="105" builtinId="9" hidden="1"/>
    <cellStyle name="Followed Hyperlink" xfId="107" builtinId="9" hidden="1"/>
    <cellStyle name="Followed Hyperlink" xfId="109" builtinId="9" hidden="1"/>
    <cellStyle name="Followed Hyperlink" xfId="111" builtinId="9" hidden="1"/>
    <cellStyle name="Followed Hyperlink" xfId="113" builtinId="9" hidden="1"/>
    <cellStyle name="Followed Hyperlink" xfId="115" builtinId="9" hidden="1"/>
    <cellStyle name="Heading 1" xfId="82" builtinId="16"/>
    <cellStyle name="Heading 2" xfId="83" builtinId="17"/>
    <cellStyle name="Heading 4" xfId="118" builtinId="19"/>
    <cellStyle name="Hyperlink" xfId="10" builtinId="8" hidden="1"/>
    <cellStyle name="Hyperlink" xfId="12" builtinId="8" hidden="1"/>
    <cellStyle name="Hyperlink" xfId="14" builtinId="8" hidden="1"/>
    <cellStyle name="Hyperlink" xfId="16" builtinId="8" hidden="1"/>
    <cellStyle name="Hyperlink" xfId="18" builtinId="8" hidden="1"/>
    <cellStyle name="Hyperlink" xfId="20" builtinId="8" hidden="1"/>
    <cellStyle name="Hyperlink" xfId="22" builtinId="8" hidden="1"/>
    <cellStyle name="Hyperlink" xfId="24" builtinId="8" hidden="1"/>
    <cellStyle name="Hyperlink" xfId="26" builtinId="8" hidden="1"/>
    <cellStyle name="Hyperlink" xfId="28" builtinId="8" hidden="1"/>
    <cellStyle name="Hyperlink" xfId="30" builtinId="8" hidden="1"/>
    <cellStyle name="Hyperlink" xfId="32" builtinId="8" hidden="1"/>
    <cellStyle name="Hyperlink" xfId="34" builtinId="8" hidden="1"/>
    <cellStyle name="Hyperlink" xfId="36" builtinId="8" hidden="1"/>
    <cellStyle name="Hyperlink" xfId="38" builtinId="8" hidden="1"/>
    <cellStyle name="Hyperlink" xfId="40" builtinId="8" hidden="1"/>
    <cellStyle name="Hyperlink" xfId="42" builtinId="8" hidden="1"/>
    <cellStyle name="Hyperlink" xfId="44" builtinId="8" hidden="1"/>
    <cellStyle name="Hyperlink" xfId="46" builtinId="8" hidden="1"/>
    <cellStyle name="Hyperlink" xfId="48" builtinId="8" hidden="1"/>
    <cellStyle name="Hyperlink" xfId="50" builtinId="8" hidden="1"/>
    <cellStyle name="Hyperlink" xfId="52" builtinId="8" hidden="1"/>
    <cellStyle name="Hyperlink" xfId="54" builtinId="8" hidden="1"/>
    <cellStyle name="Hyperlink" xfId="56" builtinId="8" hidden="1"/>
    <cellStyle name="Hyperlink" xfId="58" builtinId="8" hidden="1"/>
    <cellStyle name="Hyperlink" xfId="60" builtinId="8" hidden="1"/>
    <cellStyle name="Hyperlink" xfId="62" builtinId="8" hidden="1"/>
    <cellStyle name="Hyperlink" xfId="64" builtinId="8" hidden="1"/>
    <cellStyle name="Hyperlink" xfId="66" builtinId="8" hidden="1"/>
    <cellStyle name="Hyperlink" xfId="68" builtinId="8" hidden="1"/>
    <cellStyle name="Hyperlink" xfId="70" builtinId="8" hidden="1"/>
    <cellStyle name="Hyperlink" xfId="72" builtinId="8" hidden="1"/>
    <cellStyle name="Hyperlink" xfId="74" builtinId="8" hidden="1"/>
    <cellStyle name="Hyperlink" xfId="76" builtinId="8" hidden="1"/>
    <cellStyle name="Hyperlink" xfId="78" builtinId="8" hidden="1"/>
    <cellStyle name="Hyperlink" xfId="80" builtinId="8" hidden="1"/>
    <cellStyle name="Hyperlink" xfId="84" builtinId="8" hidden="1"/>
    <cellStyle name="Hyperlink" xfId="86" builtinId="8" hidden="1"/>
    <cellStyle name="Hyperlink" xfId="88" builtinId="8" hidden="1"/>
    <cellStyle name="Hyperlink" xfId="90" builtinId="8" hidden="1"/>
    <cellStyle name="Hyperlink" xfId="92" builtinId="8" hidden="1"/>
    <cellStyle name="Hyperlink" xfId="94" builtinId="8" hidden="1"/>
    <cellStyle name="Hyperlink" xfId="96" builtinId="8" hidden="1"/>
    <cellStyle name="Hyperlink" xfId="98" builtinId="8" hidden="1"/>
    <cellStyle name="Hyperlink" xfId="100" builtinId="8" hidden="1"/>
    <cellStyle name="Hyperlink" xfId="102" builtinId="8" hidden="1"/>
    <cellStyle name="Hyperlink" xfId="104" builtinId="8" hidden="1"/>
    <cellStyle name="Hyperlink" xfId="106" builtinId="8" hidden="1"/>
    <cellStyle name="Hyperlink" xfId="108" builtinId="8" hidden="1"/>
    <cellStyle name="Hyperlink" xfId="110" builtinId="8" hidden="1"/>
    <cellStyle name="Hyperlink" xfId="112" builtinId="8" hidden="1"/>
    <cellStyle name="Hyperlink" xfId="114" builtinId="8" hidden="1"/>
    <cellStyle name="Hyperlink" xfId="119" builtinId="8"/>
    <cellStyle name="Hyperlink 2" xfId="130"/>
    <cellStyle name="Normal" xfId="0" builtinId="0" customBuiltin="1"/>
    <cellStyle name="Normal 2" xfId="121"/>
    <cellStyle name="Normal 3" xfId="127"/>
    <cellStyle name="Normal 4" xfId="129"/>
    <cellStyle name="Percent" xfId="125" builtinId="5"/>
    <cellStyle name="Percent 2" xfId="123"/>
    <cellStyle name="Title" xfId="117" builtinId="15"/>
    <cellStyle name="Title 2" xfId="120"/>
    <cellStyle name="Total" xfId="116" builtinId="25"/>
  </cellStyles>
  <dxfs count="102">
    <dxf>
      <numFmt numFmtId="34" formatCode="_(&quot;$&quot;* #,##0.00_);_(&quot;$&quot;* \(#,##0.00\);_(&quot;$&quot;* &quot;-&quot;??_);_(@_)"/>
    </dxf>
    <dxf>
      <numFmt numFmtId="34" formatCode="_(&quot;$&quot;* #,##0.00_);_(&quot;$&quot;* \(#,##0.00\);_(&quot;$&quot;* &quot;-&quot;??_);_(@_)"/>
    </dxf>
    <dxf>
      <numFmt numFmtId="19" formatCode="m/d/yyyy"/>
    </dxf>
    <dxf>
      <numFmt numFmtId="34" formatCode="_(&quot;$&quot;* #,##0.00_);_(&quot;$&quot;* \(#,##0.00\);_(&quot;$&quot;* &quot;-&quot;??_);_(@_)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34" formatCode="_(&quot;$&quot;* #,##0.00_);_(&quot;$&quot;* \(#,##0.00\);_(&quot;$&quot;* &quot;-&quot;??_);_(@_)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34" formatCode="_(&quot;$&quot;* #,##0.00_);_(&quot;$&quot;* \(#,##0.00\);_(&quot;$&quot;* &quot;-&quot;??_);_(@_)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34" formatCode="_(&quot;$&quot;* #,##0.00_);_(&quot;$&quot;* \(#,##0.00\);_(&quot;$&quot;* &quot;-&quot;??_);_(@_)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</dxf>
    <dxf>
      <numFmt numFmtId="34" formatCode="_(&quot;$&quot;* #,##0.00_);_(&quot;$&quot;* \(#,##0.00\);_(&quot;$&quot;* &quot;-&quot;??_);_(@_)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</dxf>
    <dxf>
      <numFmt numFmtId="19" formatCode="m/d/yyyy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alignment horizontal="center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0" formatCode="General"/>
      <alignment horizontal="left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0" formatCode="General"/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border outline="0">
        <bottom style="thick">
          <color rgb="FF83992A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34" formatCode="_(&quot;$&quot;* #,##0.00_);_(&quot;$&quot;* \(#,##0.00\);_(&quot;$&quot;* &quot;-&quot;??_);_(@_)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" formatCode="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2" formatCode="0.0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border outline="0">
        <bottom style="thick">
          <color rgb="FF83992A"/>
        </bottom>
      </border>
    </dxf>
    <dxf>
      <font>
        <strike val="0"/>
        <outline val="0"/>
        <shadow val="0"/>
        <u val="none"/>
        <vertAlign val="baseline"/>
        <sz val="15"/>
        <color theme="0"/>
        <name val="Garamond"/>
        <scheme val="minor"/>
      </font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border outline="0">
        <bottom style="thick">
          <color theme="4"/>
        </bottom>
      </border>
    </dxf>
    <dxf>
      <font>
        <strike val="0"/>
        <outline val="0"/>
        <shadow val="0"/>
        <u val="none"/>
        <vertAlign val="baseline"/>
        <sz val="15"/>
        <color theme="0"/>
        <name val="Garamond"/>
        <scheme val="minor"/>
      </font>
    </dxf>
    <dxf>
      <font>
        <b/>
        <sz val="11"/>
        <color theme="1"/>
      </font>
    </dxf>
    <dxf>
      <fill>
        <patternFill patternType="solid">
          <fgColor theme="0"/>
          <bgColor rgb="FF7030A0"/>
        </patternFill>
      </fill>
      <border>
        <left style="thin">
          <color theme="1" tint="-0.499984740745262"/>
        </left>
        <right style="thin">
          <color theme="1" tint="-0.499984740745262"/>
        </right>
        <top style="thin">
          <color theme="1" tint="-0.499984740745262"/>
        </top>
        <bottom style="thin">
          <color theme="1" tint="-0.499984740745262"/>
        </bottom>
      </border>
    </dxf>
    <dxf>
      <fill>
        <patternFill patternType="solid">
          <fgColor theme="4"/>
          <bgColor theme="4"/>
        </patternFill>
      </fill>
    </dxf>
    <dxf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 tint="-0.24994659260841701"/>
          <bgColor theme="4" tint="-0.24994659260841701"/>
        </patternFill>
      </fill>
      <border>
        <top style="thick">
          <color theme="0"/>
        </top>
      </border>
    </dxf>
    <dxf>
      <font>
        <b/>
        <color theme="0"/>
      </font>
      <fill>
        <patternFill patternType="solid">
          <fgColor theme="4" tint="-0.24994659260841701"/>
          <bgColor theme="4" tint="-0.24994659260841701"/>
        </patternFill>
      </fill>
      <border>
        <bottom style="thick">
          <color theme="0"/>
        </bottom>
      </border>
    </dxf>
    <dxf>
      <font>
        <color theme="0"/>
      </font>
      <fill>
        <patternFill patternType="solid">
          <fgColor theme="4" tint="0.39994506668294322"/>
          <bgColor theme="4" tint="0.39994506668294322"/>
        </patternFill>
      </fill>
      <border>
        <vertical style="thin">
          <color theme="0"/>
        </vertical>
        <horizontal style="thin">
          <color theme="0"/>
        </horizontal>
      </border>
    </dxf>
    <dxf>
      <fill>
        <patternFill patternType="solid">
          <fgColor theme="7"/>
          <bgColor theme="7"/>
        </patternFill>
      </fill>
    </dxf>
    <dxf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 tint="-0.24994659260841701"/>
          <bgColor theme="7" tint="-0.24994659260841701"/>
        </patternFill>
      </fill>
      <border>
        <top style="thick">
          <color theme="0"/>
        </top>
      </border>
    </dxf>
    <dxf>
      <font>
        <b/>
        <color theme="0"/>
      </font>
      <fill>
        <patternFill patternType="solid">
          <fgColor theme="7" tint="-0.24994659260841701"/>
          <bgColor theme="7" tint="-0.24994659260841701"/>
        </patternFill>
      </fill>
      <border>
        <bottom style="thick">
          <color theme="0"/>
        </bottom>
      </border>
    </dxf>
    <dxf>
      <font>
        <color theme="0"/>
      </font>
      <fill>
        <patternFill patternType="solid">
          <fgColor theme="7" tint="0.39994506668294322"/>
          <bgColor theme="7" tint="0.39994506668294322"/>
        </patternFill>
      </fill>
      <border>
        <vertical style="thin">
          <color theme="0"/>
        </vertical>
        <horizontal style="thin">
          <color theme="0"/>
        </horizontal>
      </border>
    </dxf>
  </dxfs>
  <tableStyles count="3" defaultTableStyle="TableStyleMedium9" defaultPivotStyle="PivotStyleMedium4">
    <tableStyle name="Expense Report" pivot="0" count="7">
      <tableStyleElement type="wholeTable" dxfId="101"/>
      <tableStyleElement type="headerRow" dxfId="100"/>
      <tableStyleElement type="totalRow" dxfId="99"/>
      <tableStyleElement type="firstColumn" dxfId="98"/>
      <tableStyleElement type="lastColumn" dxfId="97"/>
      <tableStyleElement type="firstRowStripe" dxfId="96"/>
      <tableStyleElement type="firstColumnStripe" dxfId="95"/>
    </tableStyle>
    <tableStyle name="Expense Report 2" pivot="0" count="7">
      <tableStyleElement type="wholeTable" dxfId="94"/>
      <tableStyleElement type="headerRow" dxfId="93"/>
      <tableStyleElement type="totalRow" dxfId="92"/>
      <tableStyleElement type="firstColumn" dxfId="91"/>
      <tableStyleElement type="lastColumn" dxfId="90"/>
      <tableStyleElement type="firstRowStripe" dxfId="89"/>
      <tableStyleElement type="firstColumnStripe" dxfId="88"/>
    </tableStyle>
    <tableStyle name="Timeline Style 1" pivot="0" table="0" count="8">
      <tableStyleElement type="wholeTable" dxfId="87"/>
      <tableStyleElement type="headerRow" dxfId="86"/>
    </tableStyle>
  </table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7E25C1"/>
      <color rgb="FF8A3CC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A0A4C193-F2C1-4fcb-8827-314CF55A85BB}">
      <x15:dxfs count="6">
        <dxf>
          <fill>
            <patternFill patternType="solid">
              <fgColor theme="0" tint="-0.14999847407452621"/>
              <bgColor theme="0" tint="-0.14999847407452621"/>
            </patternFill>
          </fill>
        </dxf>
        <dxf>
          <fill>
            <patternFill patternType="solid">
              <fgColor theme="0"/>
              <bgColor theme="0"/>
            </patternFill>
          </fill>
        </dxf>
        <dxf>
          <font>
            <sz val="9"/>
            <color theme="1" tint="0.499984740745262"/>
          </font>
        </dxf>
        <dxf>
          <font>
            <sz val="9"/>
            <color theme="1" tint="0.499984740745262"/>
          </font>
        </dxf>
        <dxf>
          <font>
            <sz val="9"/>
            <color theme="1" tint="0.499984740745262"/>
          </font>
        </dxf>
        <dxf>
          <font>
            <sz val="10"/>
            <color theme="1" tint="0.499984740745262"/>
          </font>
        </dxf>
      </x15:dxfs>
    </ext>
    <ext xmlns:x15="http://schemas.microsoft.com/office/spreadsheetml/2010/11/main" uri="{9260A510-F301-46a8-8635-F512D64BE5F5}">
      <x15:timelineStyles defaultTimelineStyle="TimeSlicerStyleLight1">
        <x15:timelineStyle name="Timeline Style 1">
          <x15:timelineStyleElements>
            <x15:timelineStyleElement type="selectionLabel" dxfId="5"/>
            <x15:timelineStyleElement type="timeLevel" dxfId="4"/>
            <x15:timelineStyleElement type="periodLabel1" dxfId="3"/>
            <x15:timelineStyleElement type="periodLabel2" dxfId="2"/>
            <x15:timelineStyleElement type="selectedTimeBlock" dxfId="1"/>
            <x15:timelineStyleElement type="unselectedTimeBlock" dxfId="0"/>
          </x15:timelineStyleElements>
        </x15:timelineStyle>
      </x15:timelineStyles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28" Type="http://schemas.openxmlformats.org/officeDocument/2006/relationships/customXml" Target="../customXml/item2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onnections" Target="connections.xml"/><Relationship Id="rId27" Type="http://schemas.openxmlformats.org/officeDocument/2006/relationships/customXml" Target="../customXml/item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Forecasting!$B$1</c:f>
              <c:strCache>
                <c:ptCount val="1"/>
                <c:pt idx="0">
                  <c:v>Values</c:v>
                </c:pt>
              </c:strCache>
            </c:strRef>
          </c:tx>
          <c:spPr>
            <a:solidFill>
              <a:schemeClr val="accent1"/>
            </a:solidFill>
            <a:ln w="12700">
              <a:solidFill>
                <a:srgbClr val="FFFFFF"/>
              </a:solidFill>
              <a:prstDash val="solid"/>
            </a:ln>
            <a:effectLst/>
          </c:spPr>
          <c:invertIfNegative val="0"/>
          <c:val>
            <c:numRef>
              <c:f>Forecasting!$B$2:$B$25</c:f>
              <c:numCache>
                <c:formatCode>_("$"* #,##0.00_);_("$"* \(#,##0.00\);_("$"* "-"??_);_(@_)</c:formatCode>
                <c:ptCount val="24"/>
                <c:pt idx="0">
                  <c:v>550000</c:v>
                </c:pt>
                <c:pt idx="1">
                  <c:v>546000</c:v>
                </c:pt>
                <c:pt idx="2">
                  <c:v>547000</c:v>
                </c:pt>
                <c:pt idx="3">
                  <c:v>550000</c:v>
                </c:pt>
                <c:pt idx="4">
                  <c:v>551000</c:v>
                </c:pt>
                <c:pt idx="5">
                  <c:v>549000</c:v>
                </c:pt>
                <c:pt idx="6">
                  <c:v>548000</c:v>
                </c:pt>
                <c:pt idx="7">
                  <c:v>547000</c:v>
                </c:pt>
                <c:pt idx="8">
                  <c:v>552000</c:v>
                </c:pt>
                <c:pt idx="9">
                  <c:v>553000</c:v>
                </c:pt>
                <c:pt idx="10">
                  <c:v>545000</c:v>
                </c:pt>
                <c:pt idx="11">
                  <c:v>549000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DC-43F3-9C2E-E331438D16E9}"/>
            </c:ext>
          </c:extLst>
        </c:ser>
        <c:ser>
          <c:idx val="1"/>
          <c:order val="1"/>
          <c:tx>
            <c:strRef>
              <c:f>Forecasting!$C$1</c:f>
              <c:strCache>
                <c:ptCount val="1"/>
                <c:pt idx="0">
                  <c:v>Forecast</c:v>
                </c:pt>
              </c:strCache>
            </c:strRef>
          </c:tx>
          <c:spPr>
            <a:solidFill>
              <a:schemeClr val="accent2"/>
            </a:solidFill>
            <a:ln w="12700">
              <a:solidFill>
                <a:srgbClr val="FFFFFF"/>
              </a:solidFill>
              <a:prstDash val="solid"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Forecasting!$D$2:$D$25</c:f>
                <c:numCache>
                  <c:formatCode>General</c:formatCode>
                  <c:ptCount val="24"/>
                  <c:pt idx="12">
                    <c:v>4776.3169694771013</c:v>
                  </c:pt>
                  <c:pt idx="13">
                    <c:v>4814.6815010850769</c:v>
                  </c:pt>
                  <c:pt idx="14">
                    <c:v>4853.3420946636315</c:v>
                  </c:pt>
                  <c:pt idx="15">
                    <c:v>4892.296394552548</c:v>
                  </c:pt>
                  <c:pt idx="16">
                    <c:v>4931.5420667629032</c:v>
                  </c:pt>
                  <c:pt idx="17">
                    <c:v>4971.6802410392283</c:v>
                  </c:pt>
                  <c:pt idx="18">
                    <c:v>5011.4969502163349</c:v>
                  </c:pt>
                  <c:pt idx="19">
                    <c:v>5051.598206896555</c:v>
                  </c:pt>
                  <c:pt idx="20">
                    <c:v>5091.9817685480848</c:v>
                  </c:pt>
                  <c:pt idx="21">
                    <c:v>5132.6454163863636</c:v>
                  </c:pt>
                  <c:pt idx="22">
                    <c:v>5174.1888245734881</c:v>
                  </c:pt>
                  <c:pt idx="23">
                    <c:v>5215.4013282134292</c:v>
                  </c:pt>
                </c:numCache>
              </c:numRef>
            </c:plus>
            <c:minus>
              <c:numRef>
                <c:f>Forecasting!$D$2:$D$25</c:f>
                <c:numCache>
                  <c:formatCode>General</c:formatCode>
                  <c:ptCount val="24"/>
                  <c:pt idx="12">
                    <c:v>4776.3169694771013</c:v>
                  </c:pt>
                  <c:pt idx="13">
                    <c:v>4814.6815010850769</c:v>
                  </c:pt>
                  <c:pt idx="14">
                    <c:v>4853.3420946636315</c:v>
                  </c:pt>
                  <c:pt idx="15">
                    <c:v>4892.296394552548</c:v>
                  </c:pt>
                  <c:pt idx="16">
                    <c:v>4931.5420667629032</c:v>
                  </c:pt>
                  <c:pt idx="17">
                    <c:v>4971.6802410392283</c:v>
                  </c:pt>
                  <c:pt idx="18">
                    <c:v>5011.4969502163349</c:v>
                  </c:pt>
                  <c:pt idx="19">
                    <c:v>5051.598206896555</c:v>
                  </c:pt>
                  <c:pt idx="20">
                    <c:v>5091.9817685480848</c:v>
                  </c:pt>
                  <c:pt idx="21">
                    <c:v>5132.6454163863636</c:v>
                  </c:pt>
                  <c:pt idx="22">
                    <c:v>5174.1888245734881</c:v>
                  </c:pt>
                  <c:pt idx="23">
                    <c:v>5215.4013282134292</c:v>
                  </c:pt>
                </c:numCache>
              </c:numRef>
            </c:minus>
            <c:spPr>
              <a:noFill/>
              <a:ln w="9525" cap="flat" cmpd="sng" algn="ctr">
                <a:solidFill>
                  <a:srgbClr val="595959">
                    <a:alpha val="40392"/>
                  </a:srgbClr>
                </a:solidFill>
                <a:prstDash val="solid"/>
                <a:round/>
              </a:ln>
              <a:effectLst/>
            </c:spPr>
          </c:errBars>
          <c:cat>
            <c:numRef>
              <c:f>Forecasting!$A$2:$A$25</c:f>
              <c:numCache>
                <c:formatCode>m/d/yyyy</c:formatCode>
                <c:ptCount val="24"/>
                <c:pt idx="0">
                  <c:v>43496</c:v>
                </c:pt>
                <c:pt idx="1">
                  <c:v>43524</c:v>
                </c:pt>
                <c:pt idx="2">
                  <c:v>43555</c:v>
                </c:pt>
                <c:pt idx="3">
                  <c:v>43585</c:v>
                </c:pt>
                <c:pt idx="4">
                  <c:v>43616</c:v>
                </c:pt>
                <c:pt idx="5">
                  <c:v>43646</c:v>
                </c:pt>
                <c:pt idx="6">
                  <c:v>43677</c:v>
                </c:pt>
                <c:pt idx="7">
                  <c:v>43708</c:v>
                </c:pt>
                <c:pt idx="8">
                  <c:v>43738</c:v>
                </c:pt>
                <c:pt idx="9">
                  <c:v>43769</c:v>
                </c:pt>
                <c:pt idx="10">
                  <c:v>43799</c:v>
                </c:pt>
                <c:pt idx="11">
                  <c:v>43830</c:v>
                </c:pt>
                <c:pt idx="12">
                  <c:v>43861</c:v>
                </c:pt>
                <c:pt idx="13">
                  <c:v>43892</c:v>
                </c:pt>
                <c:pt idx="14">
                  <c:v>43921</c:v>
                </c:pt>
                <c:pt idx="15">
                  <c:v>43952</c:v>
                </c:pt>
                <c:pt idx="16">
                  <c:v>43982</c:v>
                </c:pt>
                <c:pt idx="17">
                  <c:v>44013</c:v>
                </c:pt>
                <c:pt idx="18">
                  <c:v>44043</c:v>
                </c:pt>
                <c:pt idx="19">
                  <c:v>44074</c:v>
                </c:pt>
                <c:pt idx="20">
                  <c:v>44105</c:v>
                </c:pt>
                <c:pt idx="21">
                  <c:v>44135</c:v>
                </c:pt>
                <c:pt idx="22">
                  <c:v>44166</c:v>
                </c:pt>
                <c:pt idx="23">
                  <c:v>44196</c:v>
                </c:pt>
              </c:numCache>
            </c:numRef>
          </c:cat>
          <c:val>
            <c:numRef>
              <c:f>Forecasting!$C$2:$C$25</c:f>
              <c:numCache>
                <c:formatCode>General</c:formatCode>
                <c:ptCount val="24"/>
                <c:pt idx="12" formatCode="_(&quot;$&quot;* #,##0.00_);_(&quot;$&quot;* \(#,##0.00\);_(&quot;$&quot;* &quot;-&quot;??_);_(@_)">
                  <c:v>548003.82264725864</c:v>
                </c:pt>
                <c:pt idx="13" formatCode="_(&quot;$&quot;* #,##0.00_);_(&quot;$&quot;* \(#,##0.00\);_(&quot;$&quot;* &quot;-&quot;??_);_(@_)">
                  <c:v>551961.56934770627</c:v>
                </c:pt>
                <c:pt idx="14" formatCode="_(&quot;$&quot;* #,##0.00_);_(&quot;$&quot;* \(#,##0.00\);_(&quot;$&quot;* &quot;-&quot;??_);_(@_)">
                  <c:v>552250.61444572511</c:v>
                </c:pt>
                <c:pt idx="15" formatCode="_(&quot;$&quot;* #,##0.00_);_(&quot;$&quot;* \(#,##0.00\);_(&quot;$&quot;* &quot;-&quot;??_);_(@_)">
                  <c:v>550222.07530027092</c:v>
                </c:pt>
                <c:pt idx="16" formatCode="_(&quot;$&quot;* #,##0.00_);_(&quot;$&quot;* \(#,##0.00\);_(&quot;$&quot;* &quot;-&quot;??_);_(@_)">
                  <c:v>548285.06829817861</c:v>
                </c:pt>
                <c:pt idx="17" formatCode="_(&quot;$&quot;* #,##0.00_);_(&quot;$&quot;* \(#,##0.00\);_(&quot;$&quot;* &quot;-&quot;??_);_(@_)">
                  <c:v>548490.90907209006</c:v>
                </c:pt>
                <c:pt idx="18" formatCode="_(&quot;$&quot;* #,##0.00_);_(&quot;$&quot;* \(#,##0.00\);_(&quot;$&quot;* &quot;-&quot;??_);_(@_)">
                  <c:v>552448.65577253758</c:v>
                </c:pt>
                <c:pt idx="19" formatCode="_(&quot;$&quot;* #,##0.00_);_(&quot;$&quot;* \(#,##0.00\);_(&quot;$&quot;* &quot;-&quot;??_);_(@_)">
                  <c:v>552737.70087055652</c:v>
                </c:pt>
                <c:pt idx="20" formatCode="_(&quot;$&quot;* #,##0.00_);_(&quot;$&quot;* \(#,##0.00\);_(&quot;$&quot;* &quot;-&quot;??_);_(@_)">
                  <c:v>550709.16172510223</c:v>
                </c:pt>
                <c:pt idx="21" formatCode="_(&quot;$&quot;* #,##0.00_);_(&quot;$&quot;* \(#,##0.00\);_(&quot;$&quot;* &quot;-&quot;??_);_(@_)">
                  <c:v>548772.15472301003</c:v>
                </c:pt>
                <c:pt idx="22" formatCode="_(&quot;$&quot;* #,##0.00_);_(&quot;$&quot;* \(#,##0.00\);_(&quot;$&quot;* &quot;-&quot;??_);_(@_)">
                  <c:v>548977.99549692136</c:v>
                </c:pt>
                <c:pt idx="23" formatCode="_(&quot;$&quot;* #,##0.00_);_(&quot;$&quot;* \(#,##0.00\);_(&quot;$&quot;* &quot;-&quot;??_);_(@_)">
                  <c:v>552935.74219736899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DC-43F3-9C2E-E331438D16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470286168"/>
        <c:axId val="470282232"/>
      </c:barChart>
      <c:catAx>
        <c:axId val="470286168"/>
        <c:scaling>
          <c:orientation val="minMax"/>
        </c:scaling>
        <c:delete val="0"/>
        <c:axPos val="b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70282232"/>
        <c:crosses val="autoZero"/>
        <c:auto val="1"/>
        <c:lblAlgn val="ctr"/>
        <c:lblOffset val="100"/>
        <c:noMultiLvlLbl val="0"/>
      </c:catAx>
      <c:valAx>
        <c:axId val="4702822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_(&quot;$&quot;* #,##0.00_);_(&quot;$&quot;* \(#,##0.00\);_(&quot;$&quot;* &quot;-&quot;??_);_(@_)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702861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g"/></Relationships>
</file>

<file path=xl/drawings/_rels/drawing5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0</xdr:row>
      <xdr:rowOff>0</xdr:rowOff>
    </xdr:from>
    <xdr:to>
      <xdr:col>1</xdr:col>
      <xdr:colOff>2028825</xdr:colOff>
      <xdr:row>1</xdr:row>
      <xdr:rowOff>299086</xdr:rowOff>
    </xdr:to>
    <xdr:pic>
      <xdr:nvPicPr>
        <xdr:cNvPr id="2" name="Picture 1" descr="General ledger - Wikipedia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6" y="0"/>
          <a:ext cx="2619374" cy="9467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1302398</xdr:colOff>
      <xdr:row>0</xdr:row>
      <xdr:rowOff>165230</xdr:rowOff>
    </xdr:from>
    <xdr:to>
      <xdr:col>1</xdr:col>
      <xdr:colOff>3314312</xdr:colOff>
      <xdr:row>2</xdr:row>
      <xdr:rowOff>160903</xdr:rowOff>
    </xdr:to>
    <xdr:pic>
      <xdr:nvPicPr>
        <xdr:cNvPr id="2" name="Picture 1" descr="符合居住正義的不動產投資模式 | 幣圖誌Bituzi - 挑戰市場規則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908" y="165230"/>
          <a:ext cx="2011914" cy="133694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0</xdr:row>
      <xdr:rowOff>38100</xdr:rowOff>
    </xdr:from>
    <xdr:to>
      <xdr:col>2</xdr:col>
      <xdr:colOff>534023</xdr:colOff>
      <xdr:row>1</xdr:row>
      <xdr:rowOff>282969</xdr:rowOff>
    </xdr:to>
    <xdr:pic>
      <xdr:nvPicPr>
        <xdr:cNvPr id="3" name="Picture 2" descr="Sports Car Vector | Free Vector Art at Vecteezy!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078" b="26666"/>
        <a:stretch/>
      </xdr:blipFill>
      <xdr:spPr>
        <a:xfrm>
          <a:off x="171450" y="38100"/>
          <a:ext cx="2497916" cy="8923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528925</xdr:colOff>
      <xdr:row>0</xdr:row>
      <xdr:rowOff>0</xdr:rowOff>
    </xdr:from>
    <xdr:to>
      <xdr:col>8</xdr:col>
      <xdr:colOff>383203</xdr:colOff>
      <xdr:row>1</xdr:row>
      <xdr:rowOff>263525</xdr:rowOff>
    </xdr:to>
    <xdr:pic>
      <xdr:nvPicPr>
        <xdr:cNvPr id="3" name="Picture 2" descr="Understanding the Importance of Web Desig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14351" y="0"/>
          <a:ext cx="2668482" cy="129179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404125</xdr:colOff>
      <xdr:row>0</xdr:row>
      <xdr:rowOff>9525</xdr:rowOff>
    </xdr:from>
    <xdr:to>
      <xdr:col>6</xdr:col>
      <xdr:colOff>1276349</xdr:colOff>
      <xdr:row>1</xdr:row>
      <xdr:rowOff>266700</xdr:rowOff>
    </xdr:to>
    <xdr:pic>
      <xdr:nvPicPr>
        <xdr:cNvPr id="2" name="Picture 1" descr="File:Food Vendors in Downtown Vancouver - The Kaboom Box ...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6373" b="89967" l="8519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673" t="15643" r="21402" b="15558"/>
        <a:stretch/>
      </xdr:blipFill>
      <xdr:spPr>
        <a:xfrm>
          <a:off x="6928750" y="9525"/>
          <a:ext cx="1472299" cy="10382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487680</xdr:colOff>
      <xdr:row>7</xdr:row>
      <xdr:rowOff>49530</xdr:rowOff>
    </xdr:from>
    <xdr:to>
      <xdr:col>15</xdr:col>
      <xdr:colOff>525780</xdr:colOff>
      <xdr:row>22</xdr:row>
      <xdr:rowOff>11430</xdr:rowOff>
    </xdr:to>
    <xdr:graphicFrame macro="">
      <xdr:nvGraphicFramePr>
        <xdr:cNvPr id="2" name="Chart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0</xdr:colOff>
      <xdr:row>0</xdr:row>
      <xdr:rowOff>182880</xdr:rowOff>
    </xdr:from>
    <xdr:to>
      <xdr:col>9</xdr:col>
      <xdr:colOff>15240</xdr:colOff>
      <xdr:row>5</xdr:row>
      <xdr:rowOff>7620</xdr:rowOff>
    </xdr:to>
    <xdr:sp macro="" textlink="">
      <xdr:nvSpPr>
        <xdr:cNvPr id="3" name="TextBox 2"/>
        <xdr:cNvSpPr txBox="1"/>
      </xdr:nvSpPr>
      <xdr:spPr>
        <a:xfrm>
          <a:off x="5151120" y="182880"/>
          <a:ext cx="1844040" cy="81534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Source: Company XYZ provided monthly low-end</a:t>
          </a:r>
        </a:p>
        <a:p>
          <a:r>
            <a:rPr lang="en-US" sz="1100"/>
            <a:t>sales figures for our forecasting</a:t>
          </a:r>
          <a:r>
            <a:rPr lang="en-US" sz="1100" baseline="0"/>
            <a:t> needs</a:t>
          </a:r>
          <a:endParaRPr lang="en-US" sz="1100"/>
        </a:p>
      </xdr:txBody>
    </xdr:sp>
    <xdr:clientData/>
  </xdr:twoCellAnchor>
</xdr:wsDr>
</file>

<file path=xl/tables/table1.xml><?xml version="1.0" encoding="utf-8"?>
<table xmlns="http://schemas.openxmlformats.org/spreadsheetml/2006/main" id="1" name="Ledger" displayName="Ledger" ref="A3:J4" headerRowDxfId="85" headerRowBorderDxfId="84">
  <autoFilter ref="A3:J4"/>
  <sortState ref="A4:J13">
    <sortCondition ref="A3:A13"/>
  </sortState>
  <tableColumns count="10">
    <tableColumn id="1" name="Date" totalsRowLabel="Total" dataDxfId="83" totalsRowDxfId="82" dataCellStyle="Normal 3"/>
    <tableColumn id="3" name="Account" dataDxfId="81" totalsRowDxfId="80" dataCellStyle="Normal 3"/>
    <tableColumn id="4" name="Memo/Description" dataDxfId="79" totalsRowDxfId="78" dataCellStyle="Normal 3"/>
    <tableColumn id="5" name="Cash In" totalsRowFunction="sum" dataDxfId="77" totalsRowDxfId="76" dataCellStyle="Currency"/>
    <tableColumn id="6" name="Cash Out" totalsRowFunction="sum" dataDxfId="75" totalsRowDxfId="74" dataCellStyle="Currency"/>
    <tableColumn id="7" name="Type" dataDxfId="73" totalsRowDxfId="72" dataCellStyle="Normal 3"/>
    <tableColumn id="8" name="Reference #" dataDxfId="71" totalsRowDxfId="70" dataCellStyle="Currency"/>
    <tableColumn id="9" name="Transaction Classification" dataDxfId="69" totalsRowDxfId="68" dataCellStyle="Normal 3"/>
    <tableColumn id="10" name="Calculation" totalsRowFunction="sum" dataDxfId="67">
      <calculatedColumnFormula>IF(Ledger[Date]="",0,MONTH(Ledger[Date]))</calculatedColumnFormula>
    </tableColumn>
    <tableColumn id="2" name="Month" dataDxfId="66">
      <calculatedColumnFormula>VLOOKUP(Ledger[Calculation],Classifications!$E$50:$F$62,2,FALSE)</calculatedColumnFormula>
    </tableColumn>
  </tableColumns>
  <tableStyleInfo name="TableStyleLight8" showFirstColumn="0" showLastColumn="0" showRowStripes="1" showColumnStripes="0"/>
</table>
</file>

<file path=xl/tables/table2.xml><?xml version="1.0" encoding="utf-8"?>
<table xmlns="http://schemas.openxmlformats.org/spreadsheetml/2006/main" id="7" name="Miles" displayName="Miles" ref="A3:J5" totalsRowCount="1" headerRowDxfId="65" headerRowBorderDxfId="64">
  <autoFilter ref="A3:J4"/>
  <sortState ref="A4:J13">
    <sortCondition ref="A3:A13"/>
  </sortState>
  <tableColumns count="10">
    <tableColumn id="1" name="Trip Date" totalsRowLabel="Total" dataDxfId="63" totalsRowDxfId="62" dataCellStyle="Normal 3"/>
    <tableColumn id="3" name="Calculation" dataDxfId="61" totalsRowDxfId="60" dataCellStyle="Normal 3"/>
    <tableColumn id="4" name="Month" dataDxfId="59" totalsRowDxfId="58" dataCellStyle="Normal 3"/>
    <tableColumn id="5" name="Odometer Start" dataDxfId="57" totalsRowDxfId="56" dataCellStyle="Currency"/>
    <tableColumn id="6" name="Odometer End" dataDxfId="55" totalsRowDxfId="54" dataCellStyle="Currency"/>
    <tableColumn id="7" name="Mileage Purpose" dataDxfId="53" totalsRowDxfId="52" dataCellStyle="Normal 3"/>
    <tableColumn id="8" name="Miles" totalsRowFunction="sum" dataDxfId="51" totalsRowDxfId="50" dataCellStyle="Currency"/>
    <tableColumn id="9" name="Mileage Expense" totalsRowFunction="sum" dataDxfId="49" totalsRowDxfId="48" dataCellStyle="Currency">
      <calculatedColumnFormula>Miles[Miles]*'IRS Mileage'!$B$4</calculatedColumnFormula>
    </tableColumn>
    <tableColumn id="10" name="Calculation2" totalsRowFunction="sum" dataDxfId="47">
      <calculatedColumnFormula>IF(Miles[Trip Date]="",0,MONTH(Miles[Trip Date]))</calculatedColumnFormula>
    </tableColumn>
    <tableColumn id="2" name="Month3" dataDxfId="46">
      <calculatedColumnFormula>VLOOKUP(Miles[Calculation2],Classifications!$E$50:$F$62,2,FALSE)</calculatedColumnFormula>
    </tableColumn>
  </tableColumns>
  <tableStyleInfo name="TableStyleLight12" showFirstColumn="0" showLastColumn="0" showRowStripes="1" showColumnStripes="0"/>
</table>
</file>

<file path=xl/tables/table3.xml><?xml version="1.0" encoding="utf-8"?>
<table xmlns="http://schemas.openxmlformats.org/spreadsheetml/2006/main" id="8" name="Ledger9" displayName="Ledger9" ref="A3:P4" headerRowDxfId="45" dataDxfId="43" headerRowBorderDxfId="44" headerRowCellStyle="Normal 4">
  <autoFilter ref="A3:P4"/>
  <sortState ref="A4:J13">
    <sortCondition ref="A3:A13"/>
  </sortState>
  <tableColumns count="16">
    <tableColumn id="1" name="Name" totalsRowLabel="Total" dataDxfId="42" totalsRowDxfId="41" dataCellStyle="Normal 3"/>
    <tableColumn id="3" name="Company" dataDxfId="40" totalsRowDxfId="39" dataCellStyle="Normal 3"/>
    <tableColumn id="4" name="Email" dataDxfId="38" totalsRowDxfId="37" dataCellStyle="Hyperlink"/>
    <tableColumn id="5" name="Phone" totalsRowFunction="sum" dataDxfId="36" totalsRowDxfId="35" dataCellStyle="Currency"/>
    <tableColumn id="6" name="Mobile" totalsRowFunction="sum" dataDxfId="34" totalsRowDxfId="33" dataCellStyle="Currency"/>
    <tableColumn id="7" name="Fax" dataDxfId="32" totalsRowDxfId="31" dataCellStyle="Normal 3"/>
    <tableColumn id="8" name="Website" dataDxfId="30" totalsRowDxfId="29" dataCellStyle="Hyperlink"/>
    <tableColumn id="9" name="Street" dataDxfId="28" totalsRowDxfId="27" dataCellStyle="Normal 3"/>
    <tableColumn id="10" name="City" totalsRowFunction="sum" dataDxfId="26"/>
    <tableColumn id="2" name="State" dataDxfId="25"/>
    <tableColumn id="11" name="ZIP" dataDxfId="24"/>
    <tableColumn id="12" name="Country" dataDxfId="23"/>
    <tableColumn id="13" name="Opening Balance" dataDxfId="22"/>
    <tableColumn id="14" name="Opening Balance Date" dataDxfId="21"/>
    <tableColumn id="15" name="Tax Resale No." dataDxfId="20"/>
    <tableColumn id="16" name="Customer Type" dataDxfId="19"/>
  </tableColumns>
  <tableStyleInfo name="TableStyleLight10" showFirstColumn="0" showLastColumn="0" showRowStripes="1" showColumnStripes="0"/>
</table>
</file>

<file path=xl/tables/table4.xml><?xml version="1.0" encoding="utf-8"?>
<table xmlns="http://schemas.openxmlformats.org/spreadsheetml/2006/main" id="6" name="Vendors" displayName="Vendors" ref="A3:O4" totalsRowShown="0" headerRowDxfId="18">
  <autoFilter ref="A3:O4"/>
  <tableColumns count="15">
    <tableColumn id="1" name="Name"/>
    <tableColumn id="2" name="Company"/>
    <tableColumn id="3" name="Email"/>
    <tableColumn id="4" name="Phone"/>
    <tableColumn id="5" name="Mobile"/>
    <tableColumn id="6" name="Fax"/>
    <tableColumn id="7" name="Website"/>
    <tableColumn id="8" name="Street"/>
    <tableColumn id="9" name="City"/>
    <tableColumn id="10" name="State"/>
    <tableColumn id="11" name="ZIP"/>
    <tableColumn id="12" name="Country"/>
    <tableColumn id="13" name="Opening Balance"/>
    <tableColumn id="14" name="Opening Balance Date" dataDxfId="17"/>
    <tableColumn id="15" name="Tax ID"/>
  </tableColumns>
  <tableStyleInfo name="TableStyleMedium5" showFirstColumn="0" showLastColumn="0" showRowStripes="1" showColumnStripes="0"/>
</table>
</file>

<file path=xl/tables/table5.xml><?xml version="1.0" encoding="utf-8"?>
<table xmlns="http://schemas.openxmlformats.org/spreadsheetml/2006/main" id="2" name="StartingInventory" displayName="StartingInventory" ref="A2:E7" totalsRowCount="1">
  <autoFilter ref="A2:E6"/>
  <tableColumns count="5">
    <tableColumn id="1" name="Model" totalsRowLabel="Total"/>
    <tableColumn id="2" name="Price Per Model" totalsRowFunction="average" dataDxfId="16" totalsRowDxfId="4" dataCellStyle="Currency"/>
    <tableColumn id="3" name="Quantity"/>
    <tableColumn id="4" name="Total" totalsRowFunction="sum" dataDxfId="15" totalsRowDxfId="3">
      <calculatedColumnFormula>B3*C3</calculatedColumnFormula>
    </tableColumn>
    <tableColumn id="5" name="Markup" totalsRowFunction="average" dataCellStyle="Currency">
      <calculatedColumnFormula>StartingInventory[[#This Row],[Price Per Model]]*120%</calculatedColumnFormula>
    </tableColumn>
  </tableColumns>
  <tableStyleInfo name="TableStyleLight11" showFirstColumn="0" showLastColumn="0" showRowStripes="1" showColumnStripes="0"/>
</table>
</file>

<file path=xl/tables/table6.xml><?xml version="1.0" encoding="utf-8"?>
<table xmlns="http://schemas.openxmlformats.org/spreadsheetml/2006/main" id="3" name="Table3" displayName="Table3" ref="A2:B10" totalsRowCount="1">
  <autoFilter ref="A2:B9"/>
  <tableColumns count="2">
    <tableColumn id="1" name="Policy Type" totalsRowLabel="Total"/>
    <tableColumn id="2" name="Premium" totalsRowFunction="sum" dataDxfId="14" totalsRowDxfId="13" dataCellStyle="Currency"/>
  </tableColumns>
  <tableStyleInfo name="TableStyleLight10" showFirstColumn="0" showLastColumn="0" showRowStripes="1" showColumnStripes="0"/>
</table>
</file>

<file path=xl/tables/table7.xml><?xml version="1.0" encoding="utf-8"?>
<table xmlns="http://schemas.openxmlformats.org/spreadsheetml/2006/main" id="4" name="Table4" displayName="Table4" ref="A1:B5" totalsRowCount="1">
  <autoFilter ref="A1:B4"/>
  <tableColumns count="2">
    <tableColumn id="1" name="License Type" totalsRowLabel="Total"/>
    <tableColumn id="2" name="Cost" totalsRowFunction="sum" dataDxfId="12" totalsRowDxfId="11" dataCellStyle="Currency"/>
  </tableColumns>
  <tableStyleInfo name="TableStyleLight11" showFirstColumn="0" showLastColumn="0" showRowStripes="1" showColumnStripes="0"/>
</table>
</file>

<file path=xl/tables/table8.xml><?xml version="1.0" encoding="utf-8"?>
<table xmlns="http://schemas.openxmlformats.org/spreadsheetml/2006/main" id="5" name="Table5" displayName="Table5" ref="A2:D10" totalsRowCount="1">
  <autoFilter ref="A2:D9"/>
  <tableColumns count="4">
    <tableColumn id="1" name="Asset" totalsRowLabel="Total"/>
    <tableColumn id="2" name="Quantity"/>
    <tableColumn id="3" name="Cost" dataDxfId="10" totalsRowDxfId="9" dataCellStyle="Currency"/>
    <tableColumn id="4" name="Total Cost" totalsRowFunction="sum" dataCellStyle="Currency">
      <calculatedColumnFormula>Table5[[#This Row],[Quantity]]*Table5[[#This Row],[Cost]]</calculatedColumnFormula>
    </tableColumn>
  </tableColumns>
  <tableStyleInfo name="TableStyleLight11" showFirstColumn="0" showLastColumn="0" showRowStripes="1" showColumnStripes="0"/>
</table>
</file>

<file path=xl/tables/table9.xml><?xml version="1.0" encoding="utf-8"?>
<table xmlns="http://schemas.openxmlformats.org/spreadsheetml/2006/main" id="9" name="Table9" displayName="Table9" ref="A2:D7" totalsRowCount="1">
  <autoFilter ref="A2:D6"/>
  <tableColumns count="4">
    <tableColumn id="1" name="Job Title" totalsRowLabel="Total"/>
    <tableColumn id="2" name="Quantity"/>
    <tableColumn id="3" name="Salary" dataDxfId="8" totalsRowDxfId="6" dataCellStyle="Currency"/>
    <tableColumn id="4" name="Monthly Cost" totalsRowFunction="sum" dataDxfId="7" totalsRowDxfId="5" dataCellStyle="Currency">
      <calculatedColumnFormula>(C3/12)*Table9[Quantity]</calculatedColumnFormula>
    </tableColumn>
  </tableColumns>
  <tableStyleInfo name="TableStyleLight12" showFirstColumn="0" showLastColumn="0" showRowStripes="1" showColumnStripes="0"/>
</table>
</file>

<file path=xl/tables/table10.xml><?xml version="1.0" encoding="utf-8"?>
<table xmlns="http://schemas.openxmlformats.org/spreadsheetml/2006/main" id="10" name="Table10" displayName="Table10" ref="A1:D25" totalsRowShown="0">
  <autoFilter ref="A1:D25"/>
  <tableColumns count="4">
    <tableColumn id="1" name="Timeline" dataDxfId="2"/>
    <tableColumn id="2" name="Values"/>
    <tableColumn id="3" name="Forecast" dataDxfId="1">
      <calculatedColumnFormula>_xlfn.FORECAST.ETS(A2,$B$2:$B$13,$A$2:$A$13,5,1)</calculatedColumnFormula>
    </tableColumn>
    <tableColumn id="4" name="Confidence Interval" dataDxfId="0">
      <calculatedColumnFormula>_xlfn.FORECAST.ETS.CONFINT(A2,$B$2:$B$13,$A$2:$A$13,0.99,5,1)</calculatedColumnFormula>
    </tableColumn>
  </tableColumns>
  <tableStyleInfo name="TableStyleMedium9" showFirstColumn="0" showLastColumn="0" showRowStripes="1" showColumnStripes="0"/>
</table>
</file>

<file path=xl/theme/_rels/theme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Organic">
  <a:themeElements>
    <a:clrScheme name="Organic">
      <a:dk1>
        <a:sysClr val="windowText" lastClr="000000"/>
      </a:dk1>
      <a:lt1>
        <a:sysClr val="window" lastClr="FFFFFF"/>
      </a:lt1>
      <a:dk2>
        <a:srgbClr val="212121"/>
      </a:dk2>
      <a:lt2>
        <a:srgbClr val="DADADA"/>
      </a:lt2>
      <a:accent1>
        <a:srgbClr val="83992A"/>
      </a:accent1>
      <a:accent2>
        <a:srgbClr val="3C9770"/>
      </a:accent2>
      <a:accent3>
        <a:srgbClr val="44709D"/>
      </a:accent3>
      <a:accent4>
        <a:srgbClr val="A23C33"/>
      </a:accent4>
      <a:accent5>
        <a:srgbClr val="D97828"/>
      </a:accent5>
      <a:accent6>
        <a:srgbClr val="DEB340"/>
      </a:accent6>
      <a:hlink>
        <a:srgbClr val="A8BF4D"/>
      </a:hlink>
      <a:folHlink>
        <a:srgbClr val="B4CA80"/>
      </a:folHlink>
    </a:clrScheme>
    <a:fontScheme name="Organic">
      <a:majorFont>
        <a:latin typeface="Garamond" panose="02020404030301010803"/>
        <a:ea typeface=""/>
        <a:cs typeface=""/>
        <a:font script="Jpan" typeface="ＭＳ Ｐゴシック"/>
        <a:font script="Hang" typeface="돋움"/>
        <a:font script="Hans" typeface="方正舒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ajorFont>
      <a:minorFont>
        <a:latin typeface="Garamond" panose="02020404030301010803"/>
        <a:ea typeface=""/>
        <a:cs typeface=""/>
        <a:font script="Jpan" typeface="ＭＳ Ｐ明朝"/>
        <a:font script="Hang" typeface="바탕"/>
        <a:font script="Hans" typeface="方正舒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inorFont>
    </a:fontScheme>
    <a:fmtScheme name="Organic">
      <a:fillStyleLst>
        <a:solidFill>
          <a:schemeClr val="phClr"/>
        </a:solidFill>
        <a:gradFill rotWithShape="1">
          <a:gsLst>
            <a:gs pos="0">
              <a:schemeClr val="phClr">
                <a:tint val="60000"/>
                <a:lumMod val="110000"/>
              </a:schemeClr>
            </a:gs>
            <a:gs pos="100000">
              <a:schemeClr val="phClr">
                <a:tint val="82000"/>
              </a:schemeClr>
            </a:gs>
          </a:gsLst>
          <a:lin ang="5400000" scaled="0"/>
        </a:gradFill>
        <a:blipFill>
          <a:blip xmlns:r="http://schemas.openxmlformats.org/officeDocument/2006/relationships" r:embed="rId1">
            <a:duotone>
              <a:schemeClr val="phClr">
                <a:shade val="74000"/>
                <a:satMod val="130000"/>
                <a:lumMod val="90000"/>
              </a:schemeClr>
              <a:schemeClr val="phClr">
                <a:tint val="94000"/>
                <a:satMod val="120000"/>
                <a:lumMod val="104000"/>
              </a:schemeClr>
            </a:duotone>
          </a:blip>
          <a:tile tx="0" ty="0" sx="100000" sy="100000" flip="none" algn="tl"/>
        </a:blipFill>
      </a:fillStyleLst>
      <a:lnStyleLst>
        <a:ln w="9525" cap="flat" cmpd="sng" algn="ctr">
          <a:solidFill>
            <a:schemeClr val="phClr"/>
          </a:solidFill>
          <a:prstDash val="solid"/>
        </a:ln>
        <a:ln w="15875" cap="flat" cmpd="sng" algn="ctr">
          <a:solidFill>
            <a:schemeClr val="phClr"/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>
            <a:innerShdw blurRad="25400" dist="12700" dir="13500000">
              <a:srgbClr val="000000">
                <a:alpha val="45000"/>
              </a:srgbClr>
            </a:innerShdw>
          </a:effectLst>
        </a:effectStyle>
        <a:effectStyle>
          <a:effectLst>
            <a:outerShdw blurRad="38100" dist="25400" dir="5400000" rotWithShape="0">
              <a:srgbClr val="000000">
                <a:alpha val="60000"/>
              </a:srgbClr>
            </a:outerShdw>
          </a:effectLst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90000"/>
                <a:lumMod val="110000"/>
              </a:schemeClr>
            </a:gs>
            <a:gs pos="100000">
              <a:schemeClr val="phClr">
                <a:shade val="88000"/>
                <a:lumMod val="98000"/>
              </a:schemeClr>
            </a:gs>
          </a:gsLst>
          <a:lin ang="5400000" scaled="0"/>
        </a:gradFill>
        <a:blipFill>
          <a:blip xmlns:r="http://schemas.openxmlformats.org/officeDocument/2006/relationships" r:embed="rId2"/>
          <a:stretch/>
        </a:blip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rganic" id="{28CDC826-8792-45C0-861B-85EB3ADEDA33}" vid="{7DAC20F1-423D-49E2-BD0B-50532748BAD0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table" Target="../tables/table4.x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comments" Target="../comments3.xml"/><Relationship Id="rId1" Type="http://schemas.openxmlformats.org/officeDocument/2006/relationships/vmlDrawing" Target="../drawings/vmlDrawing3.v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comments" Target="../comments4.xml"/><Relationship Id="rId1" Type="http://schemas.openxmlformats.org/officeDocument/2006/relationships/vmlDrawing" Target="../drawings/vmlDrawing4.v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hyperlink" Target="https://www.irs.gov/tax-professionals/standard-mileage-rates" TargetMode="Externa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6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comments" Target="../comments7.xml"/><Relationship Id="rId1" Type="http://schemas.openxmlformats.org/officeDocument/2006/relationships/vmlDrawing" Target="../drawings/vmlDrawing7.v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8.xml"/><Relationship Id="rId2" Type="http://schemas.openxmlformats.org/officeDocument/2006/relationships/vmlDrawing" Target="../drawings/vmlDrawing8.vml"/><Relationship Id="rId1" Type="http://schemas.openxmlformats.org/officeDocument/2006/relationships/printerSettings" Target="../printerSettings/printerSettings7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table" Target="../tables/table5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comments" Target="../comments9.xml"/><Relationship Id="rId2" Type="http://schemas.openxmlformats.org/officeDocument/2006/relationships/table" Target="../tables/table6.xml"/><Relationship Id="rId1" Type="http://schemas.openxmlformats.org/officeDocument/2006/relationships/vmlDrawing" Target="../drawings/vmlDrawing9.v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table" Target="../tables/table7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table" Target="../tables/table8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table" Target="../tables/table9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0.xml"/><Relationship Id="rId1" Type="http://schemas.openxmlformats.org/officeDocument/2006/relationships/drawing" Target="../drawings/drawing6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1"/>
    <pageSetUpPr fitToPage="1"/>
  </sheetPr>
  <dimension ref="A1:J33"/>
  <sheetViews>
    <sheetView zoomScale="132" zoomScaleNormal="132" zoomScalePageLayoutView="95" workbookViewId="0">
      <selection activeCell="H4" sqref="H4"/>
    </sheetView>
  </sheetViews>
  <sheetFormatPr defaultColWidth="11" defaultRowHeight="15.6" x14ac:dyDescent="0.3"/>
  <cols>
    <col min="1" max="1" width="9.88671875" style="6" bestFit="1" customWidth="1"/>
    <col min="2" max="2" width="29.6640625" style="6" customWidth="1"/>
    <col min="3" max="3" width="44.6640625" style="8" customWidth="1"/>
    <col min="4" max="4" width="13.109375" style="5" bestFit="1" customWidth="1"/>
    <col min="5" max="5" width="14.6640625" style="5" bestFit="1" customWidth="1"/>
    <col min="6" max="6" width="9.33203125" style="5" bestFit="1" customWidth="1"/>
    <col min="7" max="7" width="17.109375" style="8" bestFit="1" customWidth="1"/>
    <col min="8" max="8" width="37" style="8" bestFit="1" customWidth="1"/>
    <col min="9" max="9" width="15.6640625" hidden="1" customWidth="1"/>
    <col min="10" max="10" width="0" hidden="1" customWidth="1"/>
  </cols>
  <sheetData>
    <row r="1" spans="1:10" ht="51" customHeight="1" x14ac:dyDescent="0.3">
      <c r="A1" s="131"/>
      <c r="B1" s="131"/>
      <c r="C1" s="131"/>
      <c r="D1" s="131"/>
      <c r="E1" s="131"/>
      <c r="F1" s="131"/>
      <c r="G1" s="131"/>
      <c r="H1" s="131"/>
    </row>
    <row r="2" spans="1:10" ht="25.5" customHeight="1" x14ac:dyDescent="0.3">
      <c r="A2" s="132" t="s">
        <v>140</v>
      </c>
      <c r="B2" s="132"/>
      <c r="C2" s="132"/>
      <c r="D2" s="132"/>
      <c r="E2" s="132"/>
      <c r="F2" s="132"/>
      <c r="G2" s="132"/>
      <c r="H2" s="132"/>
    </row>
    <row r="3" spans="1:10" ht="15" customHeight="1" x14ac:dyDescent="0.3">
      <c r="A3" s="87" t="s">
        <v>0</v>
      </c>
      <c r="B3" s="87" t="s">
        <v>60</v>
      </c>
      <c r="C3" s="87" t="s">
        <v>142</v>
      </c>
      <c r="D3" s="87" t="s">
        <v>1</v>
      </c>
      <c r="E3" s="87" t="s">
        <v>6</v>
      </c>
      <c r="F3" s="87" t="s">
        <v>40</v>
      </c>
      <c r="G3" s="87" t="s">
        <v>5</v>
      </c>
      <c r="H3" s="87" t="s">
        <v>174</v>
      </c>
      <c r="I3" s="97" t="s">
        <v>177</v>
      </c>
      <c r="J3" s="97" t="s">
        <v>175</v>
      </c>
    </row>
    <row r="4" spans="1:10" ht="15" customHeight="1" x14ac:dyDescent="0.3">
      <c r="A4" s="83">
        <v>44197</v>
      </c>
      <c r="B4" s="127" t="s">
        <v>182</v>
      </c>
      <c r="C4" s="127" t="s">
        <v>183</v>
      </c>
      <c r="D4" s="106"/>
      <c r="E4" s="104">
        <v>-800</v>
      </c>
      <c r="F4" s="84" t="s">
        <v>44</v>
      </c>
      <c r="G4" s="5">
        <v>1001</v>
      </c>
      <c r="H4" s="83" t="s">
        <v>137</v>
      </c>
      <c r="I4" s="8">
        <f>IF(Ledger[Date]="",0,MONTH(Ledger[Date]))</f>
        <v>1</v>
      </c>
      <c r="J4" s="8" t="str">
        <f>VLOOKUP(Ledger[Calculation],Classifications!$E$50:$F$62,2,FALSE)</f>
        <v>January</v>
      </c>
    </row>
    <row r="5" spans="1:10" x14ac:dyDescent="0.3">
      <c r="D5" s="105"/>
      <c r="F5" s="8"/>
    </row>
    <row r="6" spans="1:10" x14ac:dyDescent="0.3">
      <c r="D6" s="105"/>
      <c r="F6" s="8"/>
    </row>
    <row r="7" spans="1:10" ht="17.399999999999999" x14ac:dyDescent="0.4">
      <c r="F7" s="8"/>
      <c r="G7" s="13"/>
    </row>
    <row r="8" spans="1:10" x14ac:dyDescent="0.3">
      <c r="F8" s="8"/>
    </row>
    <row r="9" spans="1:10" x14ac:dyDescent="0.3">
      <c r="F9" s="8"/>
    </row>
    <row r="13" spans="1:10" x14ac:dyDescent="0.3">
      <c r="D13" s="12"/>
      <c r="E13" s="12"/>
      <c r="F13" s="12"/>
      <c r="G13" s="4"/>
      <c r="H13" s="4"/>
    </row>
    <row r="14" spans="1:10" x14ac:dyDescent="0.3">
      <c r="G14" s="9"/>
    </row>
    <row r="15" spans="1:10" x14ac:dyDescent="0.3">
      <c r="D15" s="105"/>
      <c r="G15" s="9"/>
      <c r="H15" s="4"/>
    </row>
    <row r="19" spans="4:8" x14ac:dyDescent="0.3">
      <c r="D19" s="106"/>
      <c r="H19" s="4"/>
    </row>
    <row r="20" spans="4:8" x14ac:dyDescent="0.3">
      <c r="D20" s="105"/>
      <c r="G20" s="9"/>
      <c r="H20" s="4"/>
    </row>
    <row r="21" spans="4:8" x14ac:dyDescent="0.3">
      <c r="D21" s="105"/>
      <c r="H21" s="4"/>
    </row>
    <row r="23" spans="4:8" x14ac:dyDescent="0.3">
      <c r="D23" s="105"/>
      <c r="H23" s="2"/>
    </row>
    <row r="24" spans="4:8" x14ac:dyDescent="0.3">
      <c r="D24" s="105"/>
      <c r="H24" s="2"/>
    </row>
    <row r="25" spans="4:8" x14ac:dyDescent="0.3">
      <c r="D25" s="105"/>
      <c r="H25" s="2"/>
    </row>
    <row r="29" spans="4:8" x14ac:dyDescent="0.3">
      <c r="D29" s="105"/>
      <c r="H29" s="2"/>
    </row>
    <row r="30" spans="4:8" x14ac:dyDescent="0.3">
      <c r="D30" s="105"/>
      <c r="H30" s="2"/>
    </row>
    <row r="33" spans="4:8" x14ac:dyDescent="0.3">
      <c r="D33" s="105"/>
      <c r="H33" s="2"/>
    </row>
  </sheetData>
  <mergeCells count="2">
    <mergeCell ref="A1:H1"/>
    <mergeCell ref="A2:H2"/>
  </mergeCells>
  <phoneticPr fontId="15" type="noConversion"/>
  <pageMargins left="0.75" right="0.75" top="1" bottom="1" header="0.5" footer="0.5"/>
  <pageSetup orientation="portrait" verticalDpi="0" r:id="rId1"/>
  <drawing r:id="rId2"/>
  <legacyDrawing r:id="rId3"/>
  <tableParts count="1">
    <tablePart r:id="rId4"/>
  </tablePart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showErrorMessage="1">
          <x14:formula1>
            <xm:f>Classifications!$A$1:$A$33</xm:f>
          </x14:formula1>
          <xm:sqref>H4:H1048576</xm:sqref>
        </x14:dataValidation>
        <x14:dataValidation type="list" allowBlank="1" showErrorMessage="1">
          <x14:formula1>
            <xm:f>Classifications!$A$35:$A$39</xm:f>
          </x14:formula1>
          <xm:sqref>F4:F1048576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5" tint="0.39997558519241921"/>
  </sheetPr>
  <dimension ref="A1:O42"/>
  <sheetViews>
    <sheetView tabSelected="1" zoomScale="98" zoomScaleNormal="98" zoomScalePageLayoutView="98" workbookViewId="0">
      <pane xSplit="13" ySplit="3" topLeftCell="N25" activePane="bottomRight" state="frozen"/>
      <selection activeCell="H4" sqref="H4"/>
      <selection pane="topRight" activeCell="H4" sqref="H4"/>
      <selection pane="bottomLeft" activeCell="H4" sqref="H4"/>
      <selection pane="bottomRight" activeCell="H16" sqref="H16"/>
    </sheetView>
  </sheetViews>
  <sheetFormatPr defaultColWidth="8.88671875" defaultRowHeight="15.6" x14ac:dyDescent="0.3"/>
  <cols>
    <col min="1" max="1" width="2" style="17" customWidth="1"/>
    <col min="2" max="2" width="43.88671875" style="17" customWidth="1"/>
    <col min="3" max="14" width="13.6640625" style="22" customWidth="1"/>
    <col min="15" max="15" width="0" hidden="1" customWidth="1"/>
  </cols>
  <sheetData>
    <row r="1" spans="1:15" ht="81" customHeight="1" x14ac:dyDescent="0.3">
      <c r="A1" s="133" t="s">
        <v>93</v>
      </c>
      <c r="B1" s="133"/>
      <c r="C1" s="133"/>
      <c r="D1" s="133"/>
      <c r="E1" s="133"/>
      <c r="F1" s="133"/>
      <c r="G1" s="133"/>
      <c r="H1" s="133"/>
      <c r="I1" s="133"/>
      <c r="J1" s="133"/>
      <c r="K1" s="133"/>
      <c r="L1" s="133"/>
      <c r="M1" s="133"/>
      <c r="N1" s="133"/>
    </row>
    <row r="2" spans="1:15" ht="24.75" customHeight="1" x14ac:dyDescent="0.3">
      <c r="A2" s="133"/>
      <c r="B2" s="133"/>
      <c r="C2" s="133"/>
      <c r="D2" s="133"/>
      <c r="E2" s="133"/>
      <c r="F2" s="133"/>
      <c r="G2" s="133"/>
      <c r="H2" s="133"/>
      <c r="I2" s="133"/>
      <c r="J2" s="133"/>
      <c r="K2" s="133"/>
      <c r="L2" s="133"/>
      <c r="M2" s="133"/>
      <c r="N2" s="133"/>
    </row>
    <row r="3" spans="1:15" x14ac:dyDescent="0.3"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5" x14ac:dyDescent="0.3">
      <c r="B4" s="91" t="s">
        <v>78</v>
      </c>
      <c r="C4" s="92">
        <v>0</v>
      </c>
      <c r="D4" s="92">
        <f>C42</f>
        <v>-800</v>
      </c>
      <c r="E4" s="92">
        <f t="shared" ref="E4:N4" si="0">D42</f>
        <v>-800</v>
      </c>
      <c r="F4" s="92">
        <f t="shared" si="0"/>
        <v>-800</v>
      </c>
      <c r="G4" s="92">
        <f t="shared" si="0"/>
        <v>-800</v>
      </c>
      <c r="H4" s="92">
        <f t="shared" si="0"/>
        <v>-800</v>
      </c>
      <c r="I4" s="92">
        <f t="shared" si="0"/>
        <v>-800</v>
      </c>
      <c r="J4" s="92">
        <f t="shared" si="0"/>
        <v>-800</v>
      </c>
      <c r="K4" s="92">
        <f t="shared" si="0"/>
        <v>-800</v>
      </c>
      <c r="L4" s="92">
        <f t="shared" si="0"/>
        <v>-800</v>
      </c>
      <c r="M4" s="92">
        <f t="shared" si="0"/>
        <v>-800</v>
      </c>
      <c r="N4" s="92">
        <f t="shared" si="0"/>
        <v>-800</v>
      </c>
    </row>
    <row r="6" spans="1:15" x14ac:dyDescent="0.3">
      <c r="B6" s="30" t="s">
        <v>74</v>
      </c>
      <c r="C6" s="24">
        <f>ABS(SUMIFS(Transactions!$D:$D,Transactions!$I:$I,Classifications!B$49,Transactions!$H:$H,$B6))</f>
        <v>0</v>
      </c>
      <c r="D6" s="24">
        <f>ABS(SUMIFS(Transactions!$D:$D,Transactions!$I:$I,Classifications!C$49,Transactions!$H:$H,$B6))</f>
        <v>0</v>
      </c>
      <c r="E6" s="24">
        <f>ABS(SUMIFS(Transactions!$D:$D,Transactions!$I:$I,Classifications!D$49,Transactions!$H:$H,$B6))</f>
        <v>0</v>
      </c>
      <c r="F6" s="24">
        <f>ABS(SUMIFS(Transactions!$D:$D,Transactions!$I:$I,Classifications!E$49,Transactions!$H:$H,$B6))</f>
        <v>0</v>
      </c>
      <c r="G6" s="24">
        <f>ABS(SUMIFS(Transactions!$D:$D,Transactions!$I:$I,Classifications!F$49,Transactions!$H:$H,$B6))</f>
        <v>0</v>
      </c>
      <c r="H6" s="24">
        <f>ABS(SUMIFS(Transactions!$D:$D,Transactions!$I:$I,Classifications!G$49,Transactions!$H:$H,$B6))</f>
        <v>0</v>
      </c>
      <c r="I6" s="24">
        <f>ABS(SUMIFS(Transactions!$D:$D,Transactions!$I:$I,Classifications!H$49,Transactions!$H:$H,$B6))</f>
        <v>0</v>
      </c>
      <c r="J6" s="24">
        <f>ABS(SUMIFS(Transactions!$D:$D,Transactions!$I:$I,Classifications!I$49,Transactions!$H:$H,$B6))</f>
        <v>0</v>
      </c>
      <c r="K6" s="24">
        <f>ABS(SUMIFS(Transactions!$D:$D,Transactions!$I:$I,Classifications!J$49,Transactions!$H:$H,$B6))</f>
        <v>0</v>
      </c>
      <c r="L6" s="24">
        <f>ABS(SUMIFS(Transactions!$D:$D,Transactions!$I:$I,Classifications!K$49,Transactions!$H:$H,$B6))</f>
        <v>0</v>
      </c>
      <c r="M6" s="24">
        <f>ABS(SUMIFS(Transactions!$D:$D,Transactions!$I:$I,Classifications!L$49,Transactions!$H:$H,$B6))</f>
        <v>0</v>
      </c>
      <c r="N6" s="24">
        <f>ABS(SUMIFS(Transactions!$D:$D,Transactions!$I:$I,Classifications!M$49,Transactions!$H:$H,$B6))</f>
        <v>0</v>
      </c>
    </row>
    <row r="7" spans="1:15" x14ac:dyDescent="0.3">
      <c r="B7" s="30" t="s">
        <v>73</v>
      </c>
      <c r="C7" s="24">
        <f>ABS(SUMIFS(Transactions!$E:$E,Transactions!$I:$I,Classifications!B$49,Transactions!$H:$H,$B7))</f>
        <v>0</v>
      </c>
      <c r="D7" s="24">
        <f>ABS(SUMIFS(Transactions!$E:$E,Transactions!$I:$I,Classifications!C$49,Transactions!$H:$H,$B7))</f>
        <v>0</v>
      </c>
      <c r="E7" s="24">
        <f>ABS(SUMIFS(Transactions!$E:$E,Transactions!$I:$I,Classifications!D$49,Transactions!$H:$H,$B7))</f>
        <v>0</v>
      </c>
      <c r="F7" s="24">
        <f>ABS(SUMIFS(Transactions!$E:$E,Transactions!$I:$I,Classifications!E$49,Transactions!$H:$H,$B7))</f>
        <v>0</v>
      </c>
      <c r="G7" s="24">
        <f>ABS(SUMIFS(Transactions!$E:$E,Transactions!$I:$I,Classifications!F$49,Transactions!$H:$H,$B7))</f>
        <v>0</v>
      </c>
      <c r="H7" s="24">
        <f>ABS(SUMIFS(Transactions!$E:$E,Transactions!$I:$I,Classifications!G$49,Transactions!$H:$H,$B7))</f>
        <v>0</v>
      </c>
      <c r="I7" s="24">
        <f>ABS(SUMIFS(Transactions!$E:$E,Transactions!$I:$I,Classifications!H$49,Transactions!$H:$H,$B7))</f>
        <v>0</v>
      </c>
      <c r="J7" s="24">
        <f>ABS(SUMIFS(Transactions!$E:$E,Transactions!$I:$I,Classifications!I$49,Transactions!$H:$H,$B7))</f>
        <v>0</v>
      </c>
      <c r="K7" s="24">
        <f>ABS(SUMIFS(Transactions!$E:$E,Transactions!$I:$I,Classifications!J$49,Transactions!$H:$H,$B7))</f>
        <v>0</v>
      </c>
      <c r="L7" s="24">
        <f>ABS(SUMIFS(Transactions!$E:$E,Transactions!$I:$I,Classifications!K$49,Transactions!$H:$H,$B7))</f>
        <v>0</v>
      </c>
      <c r="M7" s="24">
        <f>ABS(SUMIFS(Transactions!$E:$E,Transactions!$I:$I,Classifications!L$49,Transactions!$H:$H,$B7))</f>
        <v>0</v>
      </c>
      <c r="N7" s="24">
        <f>ABS(SUMIFS(Transactions!$E:$E,Transactions!$I:$I,Classifications!M$49,Transactions!$H:$H,$B7))</f>
        <v>0</v>
      </c>
    </row>
    <row r="8" spans="1:15" x14ac:dyDescent="0.3">
      <c r="B8" s="95" t="s">
        <v>75</v>
      </c>
      <c r="C8" s="96">
        <f>C6-C7</f>
        <v>0</v>
      </c>
      <c r="D8" s="96">
        <f t="shared" ref="D8:N8" si="1">D6-D7</f>
        <v>0</v>
      </c>
      <c r="E8" s="96">
        <f t="shared" si="1"/>
        <v>0</v>
      </c>
      <c r="F8" s="96">
        <f t="shared" si="1"/>
        <v>0</v>
      </c>
      <c r="G8" s="96">
        <f t="shared" si="1"/>
        <v>0</v>
      </c>
      <c r="H8" s="96">
        <f t="shared" si="1"/>
        <v>0</v>
      </c>
      <c r="I8" s="96">
        <f t="shared" si="1"/>
        <v>0</v>
      </c>
      <c r="J8" s="96">
        <f t="shared" si="1"/>
        <v>0</v>
      </c>
      <c r="K8" s="96">
        <f t="shared" si="1"/>
        <v>0</v>
      </c>
      <c r="L8" s="96">
        <f t="shared" si="1"/>
        <v>0</v>
      </c>
      <c r="M8" s="96">
        <f t="shared" si="1"/>
        <v>0</v>
      </c>
      <c r="N8" s="96">
        <f t="shared" si="1"/>
        <v>0</v>
      </c>
      <c r="O8" s="81">
        <f>SUM(C8:N8)</f>
        <v>0</v>
      </c>
    </row>
    <row r="9" spans="1:15" x14ac:dyDescent="0.3">
      <c r="O9" s="81"/>
    </row>
    <row r="10" spans="1:15" x14ac:dyDescent="0.3">
      <c r="B10" s="20" t="s">
        <v>4</v>
      </c>
      <c r="C10" s="19">
        <f>ABS(SUMIFS(Transactions!$E:$E,Transactions!$I:$I,Classifications!B$49,Transactions!$H:$H,$B10))</f>
        <v>0</v>
      </c>
      <c r="D10" s="19">
        <f>ABS(SUMIFS(Transactions!$E:$E,Transactions!$I:$I,Classifications!C$49,Transactions!$H:$H,$B10))</f>
        <v>0</v>
      </c>
      <c r="E10" s="19">
        <f>ABS(SUMIFS(Transactions!$E:$E,Transactions!$I:$I,Classifications!D$49,Transactions!$H:$H,$B10))</f>
        <v>0</v>
      </c>
      <c r="F10" s="19">
        <f>ABS(SUMIFS(Transactions!$E:$E,Transactions!$I:$I,Classifications!E$49,Transactions!$H:$H,$B10))</f>
        <v>0</v>
      </c>
      <c r="G10" s="19">
        <f>ABS(SUMIFS(Transactions!$E:$E,Transactions!$I:$I,Classifications!F$49,Transactions!$H:$H,$B10))</f>
        <v>0</v>
      </c>
      <c r="H10" s="19">
        <f>ABS(SUMIFS(Transactions!$E:$E,Transactions!$I:$I,Classifications!G$49,Transactions!$H:$H,$B10))</f>
        <v>0</v>
      </c>
      <c r="I10" s="19">
        <f>ABS(SUMIFS(Transactions!$E:$E,Transactions!$I:$I,Classifications!H$49,Transactions!$H:$H,$B10))</f>
        <v>0</v>
      </c>
      <c r="J10" s="19">
        <f>ABS(SUMIFS(Transactions!$E:$E,Transactions!$I:$I,Classifications!I$49,Transactions!$H:$H,$B10))</f>
        <v>0</v>
      </c>
      <c r="K10" s="19">
        <f>ABS(SUMIFS(Transactions!$E:$E,Transactions!$I:$I,Classifications!J$49,Transactions!$H:$H,$B10))</f>
        <v>0</v>
      </c>
      <c r="L10" s="19">
        <f>ABS(SUMIFS(Transactions!$E:$E,Transactions!$I:$I,Classifications!K$49,Transactions!$H:$H,$B10))</f>
        <v>0</v>
      </c>
      <c r="M10" s="19">
        <f>ABS(SUMIFS(Transactions!$E:$E,Transactions!$I:$I,Classifications!L$49,Transactions!$H:$H,$B10))</f>
        <v>0</v>
      </c>
      <c r="N10" s="19">
        <f>ABS(SUMIFS(Transactions!$E:$E,Transactions!$I:$I,Classifications!M$49,Transactions!$H:$H,$B10))</f>
        <v>0</v>
      </c>
      <c r="O10" s="81">
        <f t="shared" ref="O10:O39" si="2">SUM(C10:N10)</f>
        <v>0</v>
      </c>
    </row>
    <row r="11" spans="1:15" x14ac:dyDescent="0.3">
      <c r="B11" s="20" t="s">
        <v>17</v>
      </c>
      <c r="C11" s="19">
        <f>ABS(SUMIFS(Transactions!$E:$E,Transactions!$I:$I,Classifications!B$49,Transactions!$H:$H,$B11))</f>
        <v>0</v>
      </c>
      <c r="D11" s="19">
        <f>ABS(SUMIFS(Transactions!$E:$E,Transactions!$I:$I,Classifications!C$49,Transactions!$H:$H,$B11))</f>
        <v>0</v>
      </c>
      <c r="E11" s="19">
        <f>ABS(SUMIFS(Transactions!$E:$E,Transactions!$I:$I,Classifications!D$49,Transactions!$H:$H,$B11))</f>
        <v>0</v>
      </c>
      <c r="F11" s="19">
        <f>ABS(SUMIFS(Transactions!$E:$E,Transactions!$I:$I,Classifications!E$49,Transactions!$H:$H,$B11))</f>
        <v>0</v>
      </c>
      <c r="G11" s="19">
        <f>ABS(SUMIFS(Transactions!$E:$E,Transactions!$I:$I,Classifications!F$49,Transactions!$H:$H,$B11))</f>
        <v>0</v>
      </c>
      <c r="H11" s="19">
        <f>ABS(SUMIFS(Transactions!$E:$E,Transactions!$I:$I,Classifications!G$49,Transactions!$H:$H,$B11))</f>
        <v>0</v>
      </c>
      <c r="I11" s="19">
        <f>ABS(SUMIFS(Transactions!$E:$E,Transactions!$I:$I,Classifications!H$49,Transactions!$H:$H,$B11))</f>
        <v>0</v>
      </c>
      <c r="J11" s="19">
        <f>ABS(SUMIFS(Transactions!$E:$E,Transactions!$I:$I,Classifications!I$49,Transactions!$H:$H,$B11))</f>
        <v>0</v>
      </c>
      <c r="K11" s="19">
        <f>ABS(SUMIFS(Transactions!$E:$E,Transactions!$I:$I,Classifications!J$49,Transactions!$H:$H,$B11))</f>
        <v>0</v>
      </c>
      <c r="L11" s="19">
        <f>ABS(SUMIFS(Transactions!$E:$E,Transactions!$I:$I,Classifications!K$49,Transactions!$H:$H,$B11))</f>
        <v>0</v>
      </c>
      <c r="M11" s="19">
        <f>ABS(SUMIFS(Transactions!$E:$E,Transactions!$I:$I,Classifications!L$49,Transactions!$H:$H,$B11))</f>
        <v>0</v>
      </c>
      <c r="N11" s="19">
        <f>ABS(SUMIFS(Transactions!$E:$E,Transactions!$I:$I,Classifications!M$49,Transactions!$H:$H,$B11))</f>
        <v>0</v>
      </c>
      <c r="O11" s="81">
        <f t="shared" si="2"/>
        <v>0</v>
      </c>
    </row>
    <row r="12" spans="1:15" x14ac:dyDescent="0.3">
      <c r="B12" s="20" t="s">
        <v>18</v>
      </c>
      <c r="C12" s="19">
        <f>ABS(SUMIFS(Transactions!$E:$E,Transactions!$I:$I,Classifications!B$49,Transactions!$H:$H,$B12))</f>
        <v>0</v>
      </c>
      <c r="D12" s="19">
        <f>ABS(SUMIFS(Transactions!$E:$E,Transactions!$I:$I,Classifications!C$49,Transactions!$H:$H,$B12))</f>
        <v>0</v>
      </c>
      <c r="E12" s="19">
        <f>ABS(SUMIFS(Transactions!$E:$E,Transactions!$I:$I,Classifications!D$49,Transactions!$H:$H,$B12))</f>
        <v>0</v>
      </c>
      <c r="F12" s="19">
        <f>ABS(SUMIFS(Transactions!$E:$E,Transactions!$I:$I,Classifications!E$49,Transactions!$H:$H,$B12))</f>
        <v>0</v>
      </c>
      <c r="G12" s="19">
        <f>ABS(SUMIFS(Transactions!$E:$E,Transactions!$I:$I,Classifications!F$49,Transactions!$H:$H,$B12))</f>
        <v>0</v>
      </c>
      <c r="H12" s="19">
        <f>ABS(SUMIFS(Transactions!$E:$E,Transactions!$I:$I,Classifications!G$49,Transactions!$H:$H,$B12))</f>
        <v>0</v>
      </c>
      <c r="I12" s="19">
        <f>ABS(SUMIFS(Transactions!$E:$E,Transactions!$I:$I,Classifications!H$49,Transactions!$H:$H,$B12))</f>
        <v>0</v>
      </c>
      <c r="J12" s="19">
        <f>ABS(SUMIFS(Transactions!$E:$E,Transactions!$I:$I,Classifications!I$49,Transactions!$H:$H,$B12))</f>
        <v>0</v>
      </c>
      <c r="K12" s="19">
        <f>ABS(SUMIFS(Transactions!$E:$E,Transactions!$I:$I,Classifications!J$49,Transactions!$H:$H,$B12))</f>
        <v>0</v>
      </c>
      <c r="L12" s="19">
        <f>ABS(SUMIFS(Transactions!$E:$E,Transactions!$I:$I,Classifications!K$49,Transactions!$H:$H,$B12))</f>
        <v>0</v>
      </c>
      <c r="M12" s="19">
        <f>ABS(SUMIFS(Transactions!$E:$E,Transactions!$I:$I,Classifications!L$49,Transactions!$H:$H,$B12))</f>
        <v>0</v>
      </c>
      <c r="N12" s="19">
        <f>ABS(SUMIFS(Transactions!$E:$E,Transactions!$I:$I,Classifications!M$49,Transactions!$H:$H,$B12))</f>
        <v>0</v>
      </c>
      <c r="O12" s="81">
        <f t="shared" si="2"/>
        <v>0</v>
      </c>
    </row>
    <row r="13" spans="1:15" x14ac:dyDescent="0.3">
      <c r="B13" s="20" t="s">
        <v>2</v>
      </c>
      <c r="C13" s="19">
        <f>ABS(SUMIFS(Transactions!$E:$E,Transactions!$I:$I,Classifications!B$49,Transactions!$H:$H,$B13))</f>
        <v>0</v>
      </c>
      <c r="D13" s="19">
        <f>ABS(SUMIFS(Transactions!$E:$E,Transactions!$I:$I,Classifications!C$49,Transactions!$H:$H,$B13))</f>
        <v>0</v>
      </c>
      <c r="E13" s="19">
        <f>ABS(SUMIFS(Transactions!$E:$E,Transactions!$I:$I,Classifications!D$49,Transactions!$H:$H,$B13))</f>
        <v>0</v>
      </c>
      <c r="F13" s="19">
        <f>ABS(SUMIFS(Transactions!$E:$E,Transactions!$I:$I,Classifications!E$49,Transactions!$H:$H,$B13))</f>
        <v>0</v>
      </c>
      <c r="G13" s="19">
        <f>ABS(SUMIFS(Transactions!$E:$E,Transactions!$I:$I,Classifications!F$49,Transactions!$H:$H,$B13))</f>
        <v>0</v>
      </c>
      <c r="H13" s="19">
        <f>ABS(SUMIFS(Transactions!$E:$E,Transactions!$I:$I,Classifications!G$49,Transactions!$H:$H,$B13))</f>
        <v>0</v>
      </c>
      <c r="I13" s="19">
        <f>ABS(SUMIFS(Transactions!$E:$E,Transactions!$I:$I,Classifications!H$49,Transactions!$H:$H,$B13))</f>
        <v>0</v>
      </c>
      <c r="J13" s="19">
        <f>ABS(SUMIFS(Transactions!$E:$E,Transactions!$I:$I,Classifications!I$49,Transactions!$H:$H,$B13))</f>
        <v>0</v>
      </c>
      <c r="K13" s="19">
        <f>ABS(SUMIFS(Transactions!$E:$E,Transactions!$I:$I,Classifications!J$49,Transactions!$H:$H,$B13))</f>
        <v>0</v>
      </c>
      <c r="L13" s="19">
        <f>ABS(SUMIFS(Transactions!$E:$E,Transactions!$I:$I,Classifications!K$49,Transactions!$H:$H,$B13))</f>
        <v>0</v>
      </c>
      <c r="M13" s="19">
        <f>ABS(SUMIFS(Transactions!$E:$E,Transactions!$I:$I,Classifications!L$49,Transactions!$H:$H,$B13))</f>
        <v>0</v>
      </c>
      <c r="N13" s="19">
        <f>ABS(SUMIFS(Transactions!$E:$E,Transactions!$I:$I,Classifications!M$49,Transactions!$H:$H,$B13))</f>
        <v>0</v>
      </c>
      <c r="O13" s="81">
        <f t="shared" si="2"/>
        <v>0</v>
      </c>
    </row>
    <row r="14" spans="1:15" x14ac:dyDescent="0.3">
      <c r="B14" s="20" t="s">
        <v>19</v>
      </c>
      <c r="C14" s="19">
        <f>ABS(SUMIFS(Transactions!$E:$E,Transactions!$I:$I,Classifications!B$49,Transactions!$H:$H,$B14))</f>
        <v>0</v>
      </c>
      <c r="D14" s="19">
        <f>ABS(SUMIFS(Transactions!$E:$E,Transactions!$I:$I,Classifications!C$49,Transactions!$H:$H,$B14))</f>
        <v>0</v>
      </c>
      <c r="E14" s="19">
        <f>ABS(SUMIFS(Transactions!$E:$E,Transactions!$I:$I,Classifications!D$49,Transactions!$H:$H,$B14))</f>
        <v>0</v>
      </c>
      <c r="F14" s="19">
        <f>ABS(SUMIFS(Transactions!$E:$E,Transactions!$I:$I,Classifications!E$49,Transactions!$H:$H,$B14))</f>
        <v>0</v>
      </c>
      <c r="G14" s="19">
        <f>ABS(SUMIFS(Transactions!$E:$E,Transactions!$I:$I,Classifications!F$49,Transactions!$H:$H,$B14))</f>
        <v>0</v>
      </c>
      <c r="H14" s="19">
        <f>ABS(SUMIFS(Transactions!$E:$E,Transactions!$I:$I,Classifications!G$49,Transactions!$H:$H,$B14))</f>
        <v>0</v>
      </c>
      <c r="I14" s="19">
        <f>ABS(SUMIFS(Transactions!$E:$E,Transactions!$I:$I,Classifications!H$49,Transactions!$H:$H,$B14))</f>
        <v>0</v>
      </c>
      <c r="J14" s="19">
        <f>ABS(SUMIFS(Transactions!$E:$E,Transactions!$I:$I,Classifications!I$49,Transactions!$H:$H,$B14))</f>
        <v>0</v>
      </c>
      <c r="K14" s="19">
        <f>ABS(SUMIFS(Transactions!$E:$E,Transactions!$I:$I,Classifications!J$49,Transactions!$H:$H,$B14))</f>
        <v>0</v>
      </c>
      <c r="L14" s="19">
        <f>ABS(SUMIFS(Transactions!$E:$E,Transactions!$I:$I,Classifications!K$49,Transactions!$H:$H,$B14))</f>
        <v>0</v>
      </c>
      <c r="M14" s="19">
        <f>ABS(SUMIFS(Transactions!$E:$E,Transactions!$I:$I,Classifications!L$49,Transactions!$H:$H,$B14))</f>
        <v>0</v>
      </c>
      <c r="N14" s="19">
        <f>ABS(SUMIFS(Transactions!$E:$E,Transactions!$I:$I,Classifications!M$49,Transactions!$H:$H,$B14))</f>
        <v>0</v>
      </c>
      <c r="O14" s="81">
        <f t="shared" si="2"/>
        <v>0</v>
      </c>
    </row>
    <row r="15" spans="1:15" x14ac:dyDescent="0.3">
      <c r="B15" s="20" t="s">
        <v>21</v>
      </c>
      <c r="C15" s="19">
        <f>ABS(SUMIFS(Transactions!$E:$E,Transactions!$I:$I,Classifications!B$49,Transactions!$H:$H,$B15))</f>
        <v>0</v>
      </c>
      <c r="D15" s="19">
        <f>ABS(SUMIFS(Transactions!$E:$E,Transactions!$I:$I,Classifications!C$49,Transactions!$H:$H,$B15))</f>
        <v>0</v>
      </c>
      <c r="E15" s="19">
        <f>ABS(SUMIFS(Transactions!$E:$E,Transactions!$I:$I,Classifications!D$49,Transactions!$H:$H,$B15))</f>
        <v>0</v>
      </c>
      <c r="F15" s="19">
        <f>ABS(SUMIFS(Transactions!$E:$E,Transactions!$I:$I,Classifications!E$49,Transactions!$H:$H,$B15))</f>
        <v>0</v>
      </c>
      <c r="G15" s="19">
        <f>ABS(SUMIFS(Transactions!$E:$E,Transactions!$I:$I,Classifications!F$49,Transactions!$H:$H,$B15))</f>
        <v>0</v>
      </c>
      <c r="H15" s="19">
        <f>ABS(SUMIFS(Transactions!$E:$E,Transactions!$I:$I,Classifications!G$49,Transactions!$H:$H,$B15))</f>
        <v>0</v>
      </c>
      <c r="I15" s="19">
        <f>ABS(SUMIFS(Transactions!$E:$E,Transactions!$I:$I,Classifications!H$49,Transactions!$H:$H,$B15))</f>
        <v>0</v>
      </c>
      <c r="J15" s="19">
        <f>ABS(SUMIFS(Transactions!$E:$E,Transactions!$I:$I,Classifications!I$49,Transactions!$H:$H,$B15))</f>
        <v>0</v>
      </c>
      <c r="K15" s="19">
        <f>ABS(SUMIFS(Transactions!$E:$E,Transactions!$I:$I,Classifications!J$49,Transactions!$H:$H,$B15))</f>
        <v>0</v>
      </c>
      <c r="L15" s="19">
        <f>ABS(SUMIFS(Transactions!$E:$E,Transactions!$I:$I,Classifications!K$49,Transactions!$H:$H,$B15))</f>
        <v>0</v>
      </c>
      <c r="M15" s="19">
        <f>ABS(SUMIFS(Transactions!$E:$E,Transactions!$I:$I,Classifications!L$49,Transactions!$H:$H,$B15))</f>
        <v>0</v>
      </c>
      <c r="N15" s="19">
        <f>ABS(SUMIFS(Transactions!$E:$E,Transactions!$I:$I,Classifications!M$49,Transactions!$H:$H,$B15))</f>
        <v>0</v>
      </c>
      <c r="O15" s="81">
        <f t="shared" si="2"/>
        <v>0</v>
      </c>
    </row>
    <row r="16" spans="1:15" x14ac:dyDescent="0.3">
      <c r="B16" s="20" t="s">
        <v>22</v>
      </c>
      <c r="C16" s="19">
        <f>ABS(SUMIFS(Transactions!$E:$E,Transactions!$I:$I,Classifications!B$49,Transactions!$H:$H,$B16))</f>
        <v>0</v>
      </c>
      <c r="D16" s="19">
        <f>ABS(SUMIFS(Transactions!$E:$E,Transactions!$I:$I,Classifications!C$49,Transactions!$H:$H,$B16))</f>
        <v>0</v>
      </c>
      <c r="E16" s="19">
        <f>ABS(SUMIFS(Transactions!$E:$E,Transactions!$I:$I,Classifications!D$49,Transactions!$H:$H,$B16))</f>
        <v>0</v>
      </c>
      <c r="F16" s="19">
        <f>ABS(SUMIFS(Transactions!$E:$E,Transactions!$I:$I,Classifications!E$49,Transactions!$H:$H,$B16))</f>
        <v>0</v>
      </c>
      <c r="G16" s="19">
        <f>ABS(SUMIFS(Transactions!$E:$E,Transactions!$I:$I,Classifications!F$49,Transactions!$H:$H,$B16))</f>
        <v>0</v>
      </c>
      <c r="H16" s="19">
        <f>ABS(SUMIFS(Transactions!$E:$E,Transactions!$I:$I,Classifications!G$49,Transactions!$H:$H,$B16))</f>
        <v>0</v>
      </c>
      <c r="I16" s="19">
        <f>ABS(SUMIFS(Transactions!$E:$E,Transactions!$I:$I,Classifications!H$49,Transactions!$H:$H,$B16))</f>
        <v>0</v>
      </c>
      <c r="J16" s="19">
        <f>ABS(SUMIFS(Transactions!$E:$E,Transactions!$I:$I,Classifications!I$49,Transactions!$H:$H,$B16))</f>
        <v>0</v>
      </c>
      <c r="K16" s="19">
        <f>ABS(SUMIFS(Transactions!$E:$E,Transactions!$I:$I,Classifications!J$49,Transactions!$H:$H,$B16))</f>
        <v>0</v>
      </c>
      <c r="L16" s="19">
        <f>ABS(SUMIFS(Transactions!$E:$E,Transactions!$I:$I,Classifications!K$49,Transactions!$H:$H,$B16))</f>
        <v>0</v>
      </c>
      <c r="M16" s="19">
        <f>ABS(SUMIFS(Transactions!$E:$E,Transactions!$I:$I,Classifications!L$49,Transactions!$H:$H,$B16))</f>
        <v>0</v>
      </c>
      <c r="N16" s="19">
        <f>ABS(SUMIFS(Transactions!$E:$E,Transactions!$I:$I,Classifications!M$49,Transactions!$H:$H,$B16))</f>
        <v>0</v>
      </c>
      <c r="O16" s="81">
        <f t="shared" si="2"/>
        <v>0</v>
      </c>
    </row>
    <row r="17" spans="2:15" x14ac:dyDescent="0.3">
      <c r="B17" s="21" t="s">
        <v>134</v>
      </c>
      <c r="C17" s="19">
        <f>ABS(SUMIFS(Transactions!$E:$E,Transactions!$I:$I,Classifications!B$49,Transactions!$H:$H,"*mortgage*"))</f>
        <v>0</v>
      </c>
      <c r="D17" s="19">
        <f>ABS(SUMIFS(Transactions!$E:$E,Transactions!$I:$I,Classifications!C$49,Transactions!$H:$H,"*mortgage*"))</f>
        <v>0</v>
      </c>
      <c r="E17" s="19">
        <f>ABS(SUMIFS(Transactions!$E:$E,Transactions!$I:$I,Classifications!D$49,Transactions!$H:$H,"*mortgage*"))</f>
        <v>0</v>
      </c>
      <c r="F17" s="19">
        <f>ABS(SUMIFS(Transactions!$E:$E,Transactions!$I:$I,Classifications!E$49,Transactions!$H:$H,"*mortgage*"))</f>
        <v>0</v>
      </c>
      <c r="G17" s="19">
        <f>ABS(SUMIFS(Transactions!$E:$E,Transactions!$I:$I,Classifications!F$49,Transactions!$H:$H,"*mortgage*"))</f>
        <v>0</v>
      </c>
      <c r="H17" s="19">
        <f>ABS(SUMIFS(Transactions!$E:$E,Transactions!$I:$I,Classifications!G$49,Transactions!$H:$H,"*mortgage*"))</f>
        <v>0</v>
      </c>
      <c r="I17" s="19">
        <f>ABS(SUMIFS(Transactions!$E:$E,Transactions!$I:$I,Classifications!H$49,Transactions!$H:$H,"*mortgage*"))</f>
        <v>0</v>
      </c>
      <c r="J17" s="19">
        <f>ABS(SUMIFS(Transactions!$E:$E,Transactions!$I:$I,Classifications!I$49,Transactions!$H:$H,"*mortgage*"))</f>
        <v>0</v>
      </c>
      <c r="K17" s="19">
        <f>ABS(SUMIFS(Transactions!$E:$E,Transactions!$I:$I,Classifications!J$49,Transactions!$H:$H,"*mortgage*"))</f>
        <v>0</v>
      </c>
      <c r="L17" s="19">
        <f>ABS(SUMIFS(Transactions!$E:$E,Transactions!$I:$I,Classifications!K$49,Transactions!$H:$H,"*mortgage*"))</f>
        <v>0</v>
      </c>
      <c r="M17" s="19">
        <f>ABS(SUMIFS(Transactions!$E:$E,Transactions!$I:$I,Classifications!L$49,Transactions!$H:$H,"*mortgage*"))</f>
        <v>0</v>
      </c>
      <c r="N17" s="19">
        <f>ABS(SUMIFS(Transactions!$E:$E,Transactions!$I:$I,Classifications!M$49,Transactions!$H:$H,"*mortgage*"))</f>
        <v>0</v>
      </c>
      <c r="O17" s="81">
        <f t="shared" si="2"/>
        <v>0</v>
      </c>
    </row>
    <row r="18" spans="2:15" x14ac:dyDescent="0.3">
      <c r="B18" s="21" t="s">
        <v>135</v>
      </c>
      <c r="C18" s="19">
        <f>ABS(SUMIFS(Transactions!$E:$E,Transactions!$I:$I,Classifications!B$49,Transactions!$H:$H,$B18))</f>
        <v>0</v>
      </c>
      <c r="D18" s="19">
        <f>ABS(SUMIFS(Transactions!$E:$E,Transactions!$I:$I,Classifications!C$49,Transactions!$H:$H,$B18))</f>
        <v>0</v>
      </c>
      <c r="E18" s="19">
        <f>ABS(SUMIFS(Transactions!$E:$E,Transactions!$I:$I,Classifications!D$49,Transactions!$H:$H,$B18))</f>
        <v>0</v>
      </c>
      <c r="F18" s="19">
        <f>ABS(SUMIFS(Transactions!$E:$E,Transactions!$I:$I,Classifications!E$49,Transactions!$H:$H,$B18))</f>
        <v>0</v>
      </c>
      <c r="G18" s="19">
        <f>ABS(SUMIFS(Transactions!$E:$E,Transactions!$I:$I,Classifications!F$49,Transactions!$H:$H,$B18))</f>
        <v>0</v>
      </c>
      <c r="H18" s="19">
        <f>ABS(SUMIFS(Transactions!$E:$E,Transactions!$I:$I,Classifications!G$49,Transactions!$H:$H,$B18))</f>
        <v>0</v>
      </c>
      <c r="I18" s="19">
        <f>ABS(SUMIFS(Transactions!$E:$E,Transactions!$I:$I,Classifications!H$49,Transactions!$H:$H,$B18))</f>
        <v>0</v>
      </c>
      <c r="J18" s="19">
        <f>ABS(SUMIFS(Transactions!$E:$E,Transactions!$I:$I,Classifications!I$49,Transactions!$H:$H,$B18))</f>
        <v>0</v>
      </c>
      <c r="K18" s="19">
        <f>ABS(SUMIFS(Transactions!$E:$E,Transactions!$I:$I,Classifications!J$49,Transactions!$H:$H,$B18))</f>
        <v>0</v>
      </c>
      <c r="L18" s="19">
        <f>ABS(SUMIFS(Transactions!$E:$E,Transactions!$I:$I,Classifications!K$49,Transactions!$H:$H,$B18))</f>
        <v>0</v>
      </c>
      <c r="M18" s="19">
        <f>ABS(SUMIFS(Transactions!$E:$E,Transactions!$I:$I,Classifications!L$49,Transactions!$H:$H,$B18))</f>
        <v>0</v>
      </c>
      <c r="N18" s="19">
        <f>ABS(SUMIFS(Transactions!$E:$E,Transactions!$I:$I,Classifications!M$49,Transactions!$H:$H,$B18))</f>
        <v>0</v>
      </c>
      <c r="O18" s="81">
        <f t="shared" si="2"/>
        <v>0</v>
      </c>
    </row>
    <row r="19" spans="2:15" x14ac:dyDescent="0.3">
      <c r="B19" s="20" t="s">
        <v>25</v>
      </c>
      <c r="C19" s="19">
        <f>ABS(SUMIFS(Transactions!$E:$E,Transactions!$I:$I,Classifications!B$49,Transactions!$H:$H,$B19))</f>
        <v>0</v>
      </c>
      <c r="D19" s="19">
        <f>ABS(SUMIFS(Transactions!$E:$E,Transactions!$I:$I,Classifications!C$49,Transactions!$H:$H,$B19))</f>
        <v>0</v>
      </c>
      <c r="E19" s="19">
        <f>ABS(SUMIFS(Transactions!$E:$E,Transactions!$I:$I,Classifications!D$49,Transactions!$H:$H,$B19))</f>
        <v>0</v>
      </c>
      <c r="F19" s="19">
        <f>ABS(SUMIFS(Transactions!$E:$E,Transactions!$I:$I,Classifications!E$49,Transactions!$H:$H,$B19))</f>
        <v>0</v>
      </c>
      <c r="G19" s="19">
        <f>ABS(SUMIFS(Transactions!$E:$E,Transactions!$I:$I,Classifications!F$49,Transactions!$H:$H,$B19))</f>
        <v>0</v>
      </c>
      <c r="H19" s="19">
        <f>ABS(SUMIFS(Transactions!$E:$E,Transactions!$I:$I,Classifications!G$49,Transactions!$H:$H,$B19))</f>
        <v>0</v>
      </c>
      <c r="I19" s="19">
        <f>ABS(SUMIFS(Transactions!$E:$E,Transactions!$I:$I,Classifications!H$49,Transactions!$H:$H,$B19))</f>
        <v>0</v>
      </c>
      <c r="J19" s="19">
        <f>ABS(SUMIFS(Transactions!$E:$E,Transactions!$I:$I,Classifications!I$49,Transactions!$H:$H,$B19))</f>
        <v>0</v>
      </c>
      <c r="K19" s="19">
        <f>ABS(SUMIFS(Transactions!$E:$E,Transactions!$I:$I,Classifications!J$49,Transactions!$H:$H,$B19))</f>
        <v>0</v>
      </c>
      <c r="L19" s="19">
        <f>ABS(SUMIFS(Transactions!$E:$E,Transactions!$I:$I,Classifications!K$49,Transactions!$H:$H,$B19))</f>
        <v>0</v>
      </c>
      <c r="M19" s="19">
        <f>ABS(SUMIFS(Transactions!$E:$E,Transactions!$I:$I,Classifications!L$49,Transactions!$H:$H,$B19))</f>
        <v>0</v>
      </c>
      <c r="N19" s="19">
        <f>ABS(SUMIFS(Transactions!$E:$E,Transactions!$I:$I,Classifications!M$49,Transactions!$H:$H,$B19))</f>
        <v>0</v>
      </c>
      <c r="O19" s="81">
        <f t="shared" si="2"/>
        <v>0</v>
      </c>
    </row>
    <row r="20" spans="2:15" x14ac:dyDescent="0.3">
      <c r="B20" s="20" t="s">
        <v>26</v>
      </c>
      <c r="C20" s="19">
        <f>ABS(SUMIFS(Transactions!$E:$E,Transactions!$I:$I,Classifications!B$49,Transactions!$H:$H,$B20))</f>
        <v>0</v>
      </c>
      <c r="D20" s="19">
        <f>ABS(SUMIFS(Transactions!$E:$E,Transactions!$I:$I,Classifications!C$49,Transactions!$H:$H,$B20))</f>
        <v>0</v>
      </c>
      <c r="E20" s="19">
        <f>ABS(SUMIFS(Transactions!$E:$E,Transactions!$I:$I,Classifications!D$49,Transactions!$H:$H,$B20))</f>
        <v>0</v>
      </c>
      <c r="F20" s="19">
        <f>ABS(SUMIFS(Transactions!$E:$E,Transactions!$I:$I,Classifications!E$49,Transactions!$H:$H,$B20))</f>
        <v>0</v>
      </c>
      <c r="G20" s="19">
        <f>ABS(SUMIFS(Transactions!$E:$E,Transactions!$I:$I,Classifications!F$49,Transactions!$H:$H,$B20))</f>
        <v>0</v>
      </c>
      <c r="H20" s="19">
        <f>ABS(SUMIFS(Transactions!$E:$E,Transactions!$I:$I,Classifications!G$49,Transactions!$H:$H,$B20))</f>
        <v>0</v>
      </c>
      <c r="I20" s="19">
        <f>ABS(SUMIFS(Transactions!$E:$E,Transactions!$I:$I,Classifications!H$49,Transactions!$H:$H,$B20))</f>
        <v>0</v>
      </c>
      <c r="J20" s="19">
        <f>ABS(SUMIFS(Transactions!$E:$E,Transactions!$I:$I,Classifications!I$49,Transactions!$H:$H,$B20))</f>
        <v>0</v>
      </c>
      <c r="K20" s="19">
        <f>ABS(SUMIFS(Transactions!$E:$E,Transactions!$I:$I,Classifications!J$49,Transactions!$H:$H,$B20))</f>
        <v>0</v>
      </c>
      <c r="L20" s="19">
        <f>ABS(SUMIFS(Transactions!$E:$E,Transactions!$I:$I,Classifications!K$49,Transactions!$H:$H,$B20))</f>
        <v>0</v>
      </c>
      <c r="M20" s="19">
        <f>ABS(SUMIFS(Transactions!$E:$E,Transactions!$I:$I,Classifications!L$49,Transactions!$H:$H,$B20))</f>
        <v>0</v>
      </c>
      <c r="N20" s="19">
        <f>ABS(SUMIFS(Transactions!$E:$E,Transactions!$I:$I,Classifications!M$49,Transactions!$H:$H,$B20))</f>
        <v>0</v>
      </c>
      <c r="O20" s="81">
        <f t="shared" si="2"/>
        <v>0</v>
      </c>
    </row>
    <row r="21" spans="2:15" x14ac:dyDescent="0.3">
      <c r="B21" s="20" t="s">
        <v>27</v>
      </c>
      <c r="C21" s="19">
        <f>ABS(SUMIFS(Transactions!$E:$E,Transactions!$I:$I,Classifications!B$49,Transactions!$H:$H,$B21))</f>
        <v>0</v>
      </c>
      <c r="D21" s="19">
        <f>ABS(SUMIFS(Transactions!$E:$E,Transactions!$I:$I,Classifications!C$49,Transactions!$H:$H,$B21))</f>
        <v>0</v>
      </c>
      <c r="E21" s="19">
        <f>ABS(SUMIFS(Transactions!$E:$E,Transactions!$I:$I,Classifications!D$49,Transactions!$H:$H,$B21))</f>
        <v>0</v>
      </c>
      <c r="F21" s="19">
        <f>ABS(SUMIFS(Transactions!$E:$E,Transactions!$I:$I,Classifications!E$49,Transactions!$H:$H,$B21))</f>
        <v>0</v>
      </c>
      <c r="G21" s="19">
        <f>ABS(SUMIFS(Transactions!$E:$E,Transactions!$I:$I,Classifications!F$49,Transactions!$H:$H,$B21))</f>
        <v>0</v>
      </c>
      <c r="H21" s="19">
        <f>ABS(SUMIFS(Transactions!$E:$E,Transactions!$I:$I,Classifications!G$49,Transactions!$H:$H,$B21))</f>
        <v>0</v>
      </c>
      <c r="I21" s="19">
        <f>ABS(SUMIFS(Transactions!$E:$E,Transactions!$I:$I,Classifications!H$49,Transactions!$H:$H,$B21))</f>
        <v>0</v>
      </c>
      <c r="J21" s="19">
        <f>ABS(SUMIFS(Transactions!$E:$E,Transactions!$I:$I,Classifications!I$49,Transactions!$H:$H,$B21))</f>
        <v>0</v>
      </c>
      <c r="K21" s="19">
        <f>ABS(SUMIFS(Transactions!$E:$E,Transactions!$I:$I,Classifications!J$49,Transactions!$H:$H,$B21))</f>
        <v>0</v>
      </c>
      <c r="L21" s="19">
        <f>ABS(SUMIFS(Transactions!$E:$E,Transactions!$I:$I,Classifications!K$49,Transactions!$H:$H,$B21))</f>
        <v>0</v>
      </c>
      <c r="M21" s="19">
        <f>ABS(SUMIFS(Transactions!$E:$E,Transactions!$I:$I,Classifications!L$49,Transactions!$H:$H,$B21))</f>
        <v>0</v>
      </c>
      <c r="N21" s="19">
        <f>ABS(SUMIFS(Transactions!$E:$E,Transactions!$I:$I,Classifications!M$49,Transactions!$H:$H,$B21))</f>
        <v>0</v>
      </c>
      <c r="O21" s="81">
        <f t="shared" si="2"/>
        <v>0</v>
      </c>
    </row>
    <row r="22" spans="2:15" x14ac:dyDescent="0.3">
      <c r="B22" s="21" t="s">
        <v>136</v>
      </c>
      <c r="C22" s="19">
        <f>ABS(SUMIFS(Transactions!$E:$E,Transactions!$I:$I,Classifications!B$49,Transactions!$H:$H,$B22))</f>
        <v>0</v>
      </c>
      <c r="D22" s="19">
        <f>ABS(SUMIFS(Transactions!$E:$E,Transactions!$I:$I,Classifications!C$49,Transactions!$H:$H,$B22))</f>
        <v>0</v>
      </c>
      <c r="E22" s="19">
        <f>ABS(SUMIFS(Transactions!$E:$E,Transactions!$I:$I,Classifications!D$49,Transactions!$H:$H,$B22))</f>
        <v>0</v>
      </c>
      <c r="F22" s="19">
        <f>ABS(SUMIFS(Transactions!$E:$E,Transactions!$I:$I,Classifications!E$49,Transactions!$H:$H,$B22))</f>
        <v>0</v>
      </c>
      <c r="G22" s="19">
        <f>ABS(SUMIFS(Transactions!$E:$E,Transactions!$I:$I,Classifications!F$49,Transactions!$H:$H,$B22))</f>
        <v>0</v>
      </c>
      <c r="H22" s="19">
        <f>ABS(SUMIFS(Transactions!$E:$E,Transactions!$I:$I,Classifications!G$49,Transactions!$H:$H,$B22))</f>
        <v>0</v>
      </c>
      <c r="I22" s="19">
        <f>ABS(SUMIFS(Transactions!$E:$E,Transactions!$I:$I,Classifications!H$49,Transactions!$H:$H,$B22))</f>
        <v>0</v>
      </c>
      <c r="J22" s="19">
        <f>ABS(SUMIFS(Transactions!$E:$E,Transactions!$I:$I,Classifications!I$49,Transactions!$H:$H,$B22))</f>
        <v>0</v>
      </c>
      <c r="K22" s="19">
        <f>ABS(SUMIFS(Transactions!$E:$E,Transactions!$I:$I,Classifications!J$49,Transactions!$H:$H,$B22))</f>
        <v>0</v>
      </c>
      <c r="L22" s="19">
        <f>ABS(SUMIFS(Transactions!$E:$E,Transactions!$I:$I,Classifications!K$49,Transactions!$H:$H,$B22))</f>
        <v>0</v>
      </c>
      <c r="M22" s="19">
        <f>ABS(SUMIFS(Transactions!$E:$E,Transactions!$I:$I,Classifications!L$49,Transactions!$H:$H,$B22))</f>
        <v>0</v>
      </c>
      <c r="N22" s="19">
        <f>ABS(SUMIFS(Transactions!$E:$E,Transactions!$I:$I,Classifications!M$49,Transactions!$H:$H,$B22))</f>
        <v>0</v>
      </c>
      <c r="O22" s="81">
        <f t="shared" si="2"/>
        <v>0</v>
      </c>
    </row>
    <row r="23" spans="2:15" x14ac:dyDescent="0.3">
      <c r="B23" s="21" t="s">
        <v>137</v>
      </c>
      <c r="C23" s="19">
        <f>ABS(SUMIFS(Transactions!$E:$E,Transactions!$I:$I,Classifications!B$49,Transactions!$H:$H,$B23))</f>
        <v>800</v>
      </c>
      <c r="D23" s="19">
        <f>ABS(SUMIFS(Transactions!$E:$E,Transactions!$I:$I,Classifications!C$49,Transactions!$H:$H,$B23))</f>
        <v>0</v>
      </c>
      <c r="E23" s="19">
        <f>ABS(SUMIFS(Transactions!$E:$E,Transactions!$I:$I,Classifications!D$49,Transactions!$H:$H,$B23))</f>
        <v>0</v>
      </c>
      <c r="F23" s="19">
        <f>ABS(SUMIFS(Transactions!$E:$E,Transactions!$I:$I,Classifications!E$49,Transactions!$H:$H,$B23))</f>
        <v>0</v>
      </c>
      <c r="G23" s="19">
        <f>ABS(SUMIFS(Transactions!$E:$E,Transactions!$I:$I,Classifications!F$49,Transactions!$H:$H,$B23))</f>
        <v>0</v>
      </c>
      <c r="H23" s="19">
        <f>ABS(SUMIFS(Transactions!$E:$E,Transactions!$I:$I,Classifications!G$49,Transactions!$H:$H,$B23))</f>
        <v>0</v>
      </c>
      <c r="I23" s="19">
        <f>ABS(SUMIFS(Transactions!$E:$E,Transactions!$I:$I,Classifications!H$49,Transactions!$H:$H,$B23))</f>
        <v>0</v>
      </c>
      <c r="J23" s="19">
        <f>ABS(SUMIFS(Transactions!$E:$E,Transactions!$I:$I,Classifications!I$49,Transactions!$H:$H,$B23))</f>
        <v>0</v>
      </c>
      <c r="K23" s="19">
        <f>ABS(SUMIFS(Transactions!$E:$E,Transactions!$I:$I,Classifications!J$49,Transactions!$H:$H,$B23))</f>
        <v>0</v>
      </c>
      <c r="L23" s="19">
        <f>ABS(SUMIFS(Transactions!$E:$E,Transactions!$I:$I,Classifications!K$49,Transactions!$H:$H,$B23))</f>
        <v>0</v>
      </c>
      <c r="M23" s="19">
        <f>ABS(SUMIFS(Transactions!$E:$E,Transactions!$I:$I,Classifications!L$49,Transactions!$H:$H,$B23))</f>
        <v>0</v>
      </c>
      <c r="N23" s="19">
        <f>ABS(SUMIFS(Transactions!$E:$E,Transactions!$I:$I,Classifications!M$49,Transactions!$H:$H,$B23))</f>
        <v>0</v>
      </c>
      <c r="O23" s="81">
        <f t="shared" si="2"/>
        <v>800</v>
      </c>
    </row>
    <row r="24" spans="2:15" x14ac:dyDescent="0.3">
      <c r="B24" s="20" t="s">
        <v>31</v>
      </c>
      <c r="C24" s="19">
        <f>ABS(SUMIFS(Transactions!$E:$E,Transactions!$I:$I,Classifications!B$49,Transactions!$H:$H,$B24))</f>
        <v>0</v>
      </c>
      <c r="D24" s="19">
        <f>ABS(SUMIFS(Transactions!$E:$E,Transactions!$I:$I,Classifications!C$49,Transactions!$H:$H,$B24))</f>
        <v>0</v>
      </c>
      <c r="E24" s="19">
        <f>ABS(SUMIFS(Transactions!$E:$E,Transactions!$I:$I,Classifications!D$49,Transactions!$H:$H,$B24))</f>
        <v>0</v>
      </c>
      <c r="F24" s="19">
        <f>ABS(SUMIFS(Transactions!$E:$E,Transactions!$I:$I,Classifications!E$49,Transactions!$H:$H,$B24))</f>
        <v>0</v>
      </c>
      <c r="G24" s="19">
        <f>ABS(SUMIFS(Transactions!$E:$E,Transactions!$I:$I,Classifications!F$49,Transactions!$H:$H,$B24))</f>
        <v>0</v>
      </c>
      <c r="H24" s="19">
        <f>ABS(SUMIFS(Transactions!$E:$E,Transactions!$I:$I,Classifications!G$49,Transactions!$H:$H,$B24))</f>
        <v>0</v>
      </c>
      <c r="I24" s="19">
        <f>ABS(SUMIFS(Transactions!$E:$E,Transactions!$I:$I,Classifications!H$49,Transactions!$H:$H,$B24))</f>
        <v>0</v>
      </c>
      <c r="J24" s="19">
        <f>ABS(SUMIFS(Transactions!$E:$E,Transactions!$I:$I,Classifications!I$49,Transactions!$H:$H,$B24))</f>
        <v>0</v>
      </c>
      <c r="K24" s="19">
        <f>ABS(SUMIFS(Transactions!$E:$E,Transactions!$I:$I,Classifications!J$49,Transactions!$H:$H,$B24))</f>
        <v>0</v>
      </c>
      <c r="L24" s="19">
        <f>ABS(SUMIFS(Transactions!$E:$E,Transactions!$I:$I,Classifications!K$49,Transactions!$H:$H,$B24))</f>
        <v>0</v>
      </c>
      <c r="M24" s="19">
        <f>ABS(SUMIFS(Transactions!$E:$E,Transactions!$I:$I,Classifications!L$49,Transactions!$H:$H,$B24))</f>
        <v>0</v>
      </c>
      <c r="N24" s="19">
        <f>ABS(SUMIFS(Transactions!$E:$E,Transactions!$I:$I,Classifications!M$49,Transactions!$H:$H,$B24))</f>
        <v>0</v>
      </c>
      <c r="O24" s="81">
        <f t="shared" si="2"/>
        <v>0</v>
      </c>
    </row>
    <row r="25" spans="2:15" x14ac:dyDescent="0.3">
      <c r="B25" s="20" t="s">
        <v>3</v>
      </c>
      <c r="C25" s="19">
        <f>ABS(SUMIFS(Transactions!$E:$E,Transactions!$I:$I,Classifications!B$49,Transactions!$H:$H,"*supplies*"))</f>
        <v>0</v>
      </c>
      <c r="D25" s="19">
        <f>ABS(SUMIFS(Transactions!$E:$E,Transactions!$I:$I,Classifications!C$49,Transactions!$H:$H,"*supplies*"))</f>
        <v>0</v>
      </c>
      <c r="E25" s="19">
        <f>ABS(SUMIFS(Transactions!$E:$E,Transactions!$I:$I,Classifications!D$49,Transactions!$H:$H,"*supplies*"))</f>
        <v>0</v>
      </c>
      <c r="F25" s="19">
        <f>ABS(SUMIFS(Transactions!$E:$E,Transactions!$I:$I,Classifications!E$49,Transactions!$H:$H,"*supplies*"))</f>
        <v>0</v>
      </c>
      <c r="G25" s="19">
        <f>ABS(SUMIFS(Transactions!$E:$E,Transactions!$I:$I,Classifications!F$49,Transactions!$H:$H,"*supplies*"))</f>
        <v>0</v>
      </c>
      <c r="H25" s="19">
        <f>ABS(SUMIFS(Transactions!$E:$E,Transactions!$I:$I,Classifications!G$49,Transactions!$H:$H,"*supplies*"))</f>
        <v>0</v>
      </c>
      <c r="I25" s="19">
        <f>ABS(SUMIFS(Transactions!$E:$E,Transactions!$I:$I,Classifications!H$49,Transactions!$H:$H,"*supplies*"))</f>
        <v>0</v>
      </c>
      <c r="J25" s="19">
        <f>ABS(SUMIFS(Transactions!$E:$E,Transactions!$I:$I,Classifications!I$49,Transactions!$H:$H,"*supplies*"))</f>
        <v>0</v>
      </c>
      <c r="K25" s="19">
        <f>ABS(SUMIFS(Transactions!$E:$E,Transactions!$I:$I,Classifications!J$49,Transactions!$H:$H,"*supplies*"))</f>
        <v>0</v>
      </c>
      <c r="L25" s="19">
        <f>ABS(SUMIFS(Transactions!$E:$E,Transactions!$I:$I,Classifications!K$49,Transactions!$H:$H,"*supplies*"))</f>
        <v>0</v>
      </c>
      <c r="M25" s="19">
        <f>ABS(SUMIFS(Transactions!$E:$E,Transactions!$I:$I,Classifications!L$49,Transactions!$H:$H,"*supplies*"))</f>
        <v>0</v>
      </c>
      <c r="N25" s="19">
        <f>ABS(SUMIFS(Transactions!$E:$E,Transactions!$I:$I,Classifications!M$49,Transactions!$H:$H,"*supplies*"))</f>
        <v>0</v>
      </c>
      <c r="O25" s="81">
        <f t="shared" si="2"/>
        <v>0</v>
      </c>
    </row>
    <row r="26" spans="2:15" x14ac:dyDescent="0.3">
      <c r="B26" s="20" t="s">
        <v>7</v>
      </c>
      <c r="C26" s="19">
        <f>ABS(SUMIFS(Transactions!$E:$E,Transactions!$I:$I,Classifications!B$49,Transactions!$H:$H,$B26))</f>
        <v>0</v>
      </c>
      <c r="D26" s="19">
        <f>ABS(SUMIFS(Transactions!$E:$E,Transactions!$I:$I,Classifications!C$49,Transactions!$H:$H,$B26))</f>
        <v>0</v>
      </c>
      <c r="E26" s="19">
        <f>ABS(SUMIFS(Transactions!$E:$E,Transactions!$I:$I,Classifications!D$49,Transactions!$H:$H,$B26))</f>
        <v>0</v>
      </c>
      <c r="F26" s="19">
        <f>ABS(SUMIFS(Transactions!$E:$E,Transactions!$I:$I,Classifications!E$49,Transactions!$H:$H,$B26))</f>
        <v>0</v>
      </c>
      <c r="G26" s="19">
        <f>ABS(SUMIFS(Transactions!$E:$E,Transactions!$I:$I,Classifications!F$49,Transactions!$H:$H,$B26))</f>
        <v>0</v>
      </c>
      <c r="H26" s="19">
        <f>ABS(SUMIFS(Transactions!$E:$E,Transactions!$I:$I,Classifications!G$49,Transactions!$H:$H,$B26))</f>
        <v>0</v>
      </c>
      <c r="I26" s="19">
        <f>ABS(SUMIFS(Transactions!$E:$E,Transactions!$I:$I,Classifications!H$49,Transactions!$H:$H,$B26))</f>
        <v>0</v>
      </c>
      <c r="J26" s="19">
        <f>ABS(SUMIFS(Transactions!$E:$E,Transactions!$I:$I,Classifications!I$49,Transactions!$H:$H,$B26))</f>
        <v>0</v>
      </c>
      <c r="K26" s="19">
        <f>ABS(SUMIFS(Transactions!$E:$E,Transactions!$I:$I,Classifications!J$49,Transactions!$H:$H,$B26))</f>
        <v>0</v>
      </c>
      <c r="L26" s="19">
        <f>ABS(SUMIFS(Transactions!$E:$E,Transactions!$I:$I,Classifications!K$49,Transactions!$H:$H,$B26))</f>
        <v>0</v>
      </c>
      <c r="M26" s="19">
        <f>ABS(SUMIFS(Transactions!$E:$E,Transactions!$I:$I,Classifications!L$49,Transactions!$H:$H,$B26))</f>
        <v>0</v>
      </c>
      <c r="N26" s="19">
        <f>ABS(SUMIFS(Transactions!$E:$E,Transactions!$I:$I,Classifications!M$49,Transactions!$H:$H,$B26))</f>
        <v>0</v>
      </c>
      <c r="O26" s="81">
        <f t="shared" si="2"/>
        <v>0</v>
      </c>
    </row>
    <row r="27" spans="2:15" x14ac:dyDescent="0.3">
      <c r="B27" s="21" t="s">
        <v>32</v>
      </c>
      <c r="C27" s="19">
        <f>ABS(SUMIFS(Transactions!$E:$E,Transactions!$I:$I,Classifications!B$49,Transactions!$H:$H,$B27))</f>
        <v>0</v>
      </c>
      <c r="D27" s="19">
        <f>ABS(SUMIFS(Transactions!$E:$E,Transactions!$I:$I,Classifications!C$49,Transactions!$H:$H,$B27))</f>
        <v>0</v>
      </c>
      <c r="E27" s="19">
        <f>ABS(SUMIFS(Transactions!$E:$E,Transactions!$I:$I,Classifications!D$49,Transactions!$H:$H,$B27))</f>
        <v>0</v>
      </c>
      <c r="F27" s="19">
        <f>ABS(SUMIFS(Transactions!$E:$E,Transactions!$I:$I,Classifications!E$49,Transactions!$H:$H,$B27))</f>
        <v>0</v>
      </c>
      <c r="G27" s="19">
        <f>ABS(SUMIFS(Transactions!$E:$E,Transactions!$I:$I,Classifications!F$49,Transactions!$H:$H,$B27))</f>
        <v>0</v>
      </c>
      <c r="H27" s="19">
        <f>ABS(SUMIFS(Transactions!$E:$E,Transactions!$I:$I,Classifications!G$49,Transactions!$H:$H,$B27))</f>
        <v>0</v>
      </c>
      <c r="I27" s="19">
        <f>ABS(SUMIFS(Transactions!$E:$E,Transactions!$I:$I,Classifications!H$49,Transactions!$H:$H,$B27))</f>
        <v>0</v>
      </c>
      <c r="J27" s="19">
        <f>ABS(SUMIFS(Transactions!$E:$E,Transactions!$I:$I,Classifications!I$49,Transactions!$H:$H,$B27))</f>
        <v>0</v>
      </c>
      <c r="K27" s="19">
        <f>ABS(SUMIFS(Transactions!$E:$E,Transactions!$I:$I,Classifications!J$49,Transactions!$H:$H,$B27))</f>
        <v>0</v>
      </c>
      <c r="L27" s="19">
        <f>ABS(SUMIFS(Transactions!$E:$E,Transactions!$I:$I,Classifications!K$49,Transactions!$H:$H,$B27))</f>
        <v>0</v>
      </c>
      <c r="M27" s="19">
        <f>ABS(SUMIFS(Transactions!$E:$E,Transactions!$I:$I,Classifications!L$49,Transactions!$H:$H,$B27))</f>
        <v>0</v>
      </c>
      <c r="N27" s="19">
        <f>ABS(SUMIFS(Transactions!$E:$E,Transactions!$I:$I,Classifications!M$49,Transactions!$H:$H,$B27))</f>
        <v>0</v>
      </c>
      <c r="O27" s="81">
        <f t="shared" si="2"/>
        <v>0</v>
      </c>
    </row>
    <row r="28" spans="2:15" x14ac:dyDescent="0.3">
      <c r="B28" s="21" t="s">
        <v>128</v>
      </c>
      <c r="C28" s="19">
        <f>ABS(SUMIFS(Transactions!$E:$E,Transactions!$I:$I,Classifications!B$49,Transactions!$H:$H,$B28))</f>
        <v>0</v>
      </c>
      <c r="D28" s="19">
        <f>ABS(SUMIFS(Transactions!$E:$E,Transactions!$I:$I,Classifications!C$49,Transactions!$H:$H,$B28))</f>
        <v>0</v>
      </c>
      <c r="E28" s="19">
        <f>ABS(SUMIFS(Transactions!$E:$E,Transactions!$I:$I,Classifications!D$49,Transactions!$H:$H,$B28))</f>
        <v>0</v>
      </c>
      <c r="F28" s="19">
        <f>ABS(SUMIFS(Transactions!$E:$E,Transactions!$I:$I,Classifications!E$49,Transactions!$H:$H,$B28))</f>
        <v>0</v>
      </c>
      <c r="G28" s="19">
        <f>ABS(SUMIFS(Transactions!$E:$E,Transactions!$I:$I,Classifications!F$49,Transactions!$H:$H,$B28))</f>
        <v>0</v>
      </c>
      <c r="H28" s="19">
        <f>ABS(SUMIFS(Transactions!$E:$E,Transactions!$I:$I,Classifications!G$49,Transactions!$H:$H,$B28))</f>
        <v>0</v>
      </c>
      <c r="I28" s="19">
        <f>ABS(SUMIFS(Transactions!$E:$E,Transactions!$I:$I,Classifications!H$49,Transactions!$H:$H,$B28))</f>
        <v>0</v>
      </c>
      <c r="J28" s="19">
        <f>ABS(SUMIFS(Transactions!$E:$E,Transactions!$I:$I,Classifications!I$49,Transactions!$H:$H,$B28))</f>
        <v>0</v>
      </c>
      <c r="K28" s="19">
        <f>ABS(SUMIFS(Transactions!$E:$E,Transactions!$I:$I,Classifications!J$49,Transactions!$H:$H,$B28))</f>
        <v>0</v>
      </c>
      <c r="L28" s="19">
        <f>ABS(SUMIFS(Transactions!$E:$E,Transactions!$I:$I,Classifications!K$49,Transactions!$H:$H,$B28))</f>
        <v>0</v>
      </c>
      <c r="M28" s="19">
        <f>ABS(SUMIFS(Transactions!$E:$E,Transactions!$I:$I,Classifications!L$49,Transactions!$H:$H,$B28))</f>
        <v>0</v>
      </c>
      <c r="N28" s="19">
        <f>ABS(SUMIFS(Transactions!$E:$E,Transactions!$I:$I,Classifications!M$49,Transactions!$H:$H,$B28))</f>
        <v>0</v>
      </c>
      <c r="O28" s="81">
        <f t="shared" si="2"/>
        <v>0</v>
      </c>
    </row>
    <row r="29" spans="2:15" x14ac:dyDescent="0.3">
      <c r="B29" s="20" t="s">
        <v>34</v>
      </c>
      <c r="C29" s="19">
        <f>ABS(SUMIFS(Transactions!$E:$E,Transactions!$I:$I,Classifications!B$49,Transactions!$H:$H,$B29))</f>
        <v>0</v>
      </c>
      <c r="D29" s="19">
        <f>ABS(SUMIFS(Transactions!$E:$E,Transactions!$I:$I,Classifications!C$49,Transactions!$H:$H,$B29))</f>
        <v>0</v>
      </c>
      <c r="E29" s="19">
        <f>ABS(SUMIFS(Transactions!$E:$E,Transactions!$I:$I,Classifications!D$49,Transactions!$H:$H,$B29))</f>
        <v>0</v>
      </c>
      <c r="F29" s="19">
        <f>ABS(SUMIFS(Transactions!$E:$E,Transactions!$I:$I,Classifications!E$49,Transactions!$H:$H,$B29))</f>
        <v>0</v>
      </c>
      <c r="G29" s="19">
        <f>ABS(SUMIFS(Transactions!$E:$E,Transactions!$I:$I,Classifications!F$49,Transactions!$H:$H,$B29))</f>
        <v>0</v>
      </c>
      <c r="H29" s="19">
        <f>ABS(SUMIFS(Transactions!$E:$E,Transactions!$I:$I,Classifications!G$49,Transactions!$H:$H,$B29))</f>
        <v>0</v>
      </c>
      <c r="I29" s="19">
        <f>ABS(SUMIFS(Transactions!$E:$E,Transactions!$I:$I,Classifications!H$49,Transactions!$H:$H,$B29))</f>
        <v>0</v>
      </c>
      <c r="J29" s="19">
        <f>ABS(SUMIFS(Transactions!$E:$E,Transactions!$I:$I,Classifications!I$49,Transactions!$H:$H,$B29))</f>
        <v>0</v>
      </c>
      <c r="K29" s="19">
        <f>ABS(SUMIFS(Transactions!$E:$E,Transactions!$I:$I,Classifications!J$49,Transactions!$H:$H,$B29))</f>
        <v>0</v>
      </c>
      <c r="L29" s="19">
        <f>ABS(SUMIFS(Transactions!$E:$E,Transactions!$I:$I,Classifications!K$49,Transactions!$H:$H,$B29))</f>
        <v>0</v>
      </c>
      <c r="M29" s="19">
        <f>ABS(SUMIFS(Transactions!$E:$E,Transactions!$I:$I,Classifications!L$49,Transactions!$H:$H,$B29))</f>
        <v>0</v>
      </c>
      <c r="N29" s="19">
        <f>ABS(SUMIFS(Transactions!$E:$E,Transactions!$I:$I,Classifications!M$49,Transactions!$H:$H,$B29))</f>
        <v>0</v>
      </c>
      <c r="O29" s="81">
        <f t="shared" si="2"/>
        <v>0</v>
      </c>
    </row>
    <row r="30" spans="2:15" x14ac:dyDescent="0.3">
      <c r="B30" s="20" t="s">
        <v>133</v>
      </c>
      <c r="C30" s="19">
        <f>ABS(SUMIFS(Transactions!$E:$E,Transactions!$I:$I,Classifications!B$49,Transactions!$H:$H,$B30))</f>
        <v>0</v>
      </c>
      <c r="D30" s="19">
        <f>ABS(SUMIFS(Transactions!$E:$E,Transactions!$I:$I,Classifications!C$49,Transactions!$H:$H,$B30))</f>
        <v>0</v>
      </c>
      <c r="E30" s="19">
        <f>ABS(SUMIFS(Transactions!$E:$E,Transactions!$I:$I,Classifications!D$49,Transactions!$H:$H,$B30))</f>
        <v>0</v>
      </c>
      <c r="F30" s="19">
        <f>ABS(SUMIFS(Transactions!$E:$E,Transactions!$I:$I,Classifications!E$49,Transactions!$H:$H,$B30))</f>
        <v>0</v>
      </c>
      <c r="G30" s="19">
        <f>ABS(SUMIFS(Transactions!$E:$E,Transactions!$I:$I,Classifications!F$49,Transactions!$H:$H,$B30))</f>
        <v>0</v>
      </c>
      <c r="H30" s="19">
        <f>ABS(SUMIFS(Transactions!$E:$E,Transactions!$I:$I,Classifications!G$49,Transactions!$H:$H,$B30))</f>
        <v>0</v>
      </c>
      <c r="I30" s="19">
        <f>ABS(SUMIFS(Transactions!$E:$E,Transactions!$I:$I,Classifications!H$49,Transactions!$H:$H,$B30))</f>
        <v>0</v>
      </c>
      <c r="J30" s="19">
        <f>ABS(SUMIFS(Transactions!$E:$E,Transactions!$I:$I,Classifications!I$49,Transactions!$H:$H,$B30))</f>
        <v>0</v>
      </c>
      <c r="K30" s="19">
        <f>ABS(SUMIFS(Transactions!$E:$E,Transactions!$I:$I,Classifications!J$49,Transactions!$H:$H,$B30))</f>
        <v>0</v>
      </c>
      <c r="L30" s="19">
        <f>ABS(SUMIFS(Transactions!$E:$E,Transactions!$I:$I,Classifications!K$49,Transactions!$H:$H,$B30))</f>
        <v>0</v>
      </c>
      <c r="M30" s="19">
        <f>ABS(SUMIFS(Transactions!$E:$E,Transactions!$I:$I,Classifications!L$49,Transactions!$H:$H,$B30))</f>
        <v>0</v>
      </c>
      <c r="N30" s="19">
        <f>ABS(SUMIFS(Transactions!$E:$E,Transactions!$I:$I,Classifications!M$49,Transactions!$H:$H,$B30))</f>
        <v>0</v>
      </c>
      <c r="O30" s="81">
        <f t="shared" si="2"/>
        <v>0</v>
      </c>
    </row>
    <row r="31" spans="2:15" x14ac:dyDescent="0.3">
      <c r="B31" s="20" t="s">
        <v>8</v>
      </c>
      <c r="C31" s="19">
        <f>ABS(SUMIFS(Transactions!$E:$E,Transactions!$I:$I,Classifications!B$49,Transactions!$H:$H,$B31))</f>
        <v>0</v>
      </c>
      <c r="D31" s="19">
        <f>ABS(SUMIFS(Transactions!$E:$E,Transactions!$I:$I,Classifications!C$49,Transactions!$H:$H,$B31))</f>
        <v>0</v>
      </c>
      <c r="E31" s="19">
        <f>ABS(SUMIFS(Transactions!$E:$E,Transactions!$I:$I,Classifications!D$49,Transactions!$H:$H,$B31))</f>
        <v>0</v>
      </c>
      <c r="F31" s="19">
        <f>ABS(SUMIFS(Transactions!$E:$E,Transactions!$I:$I,Classifications!E$49,Transactions!$H:$H,$B31))</f>
        <v>0</v>
      </c>
      <c r="G31" s="19">
        <f>ABS(SUMIFS(Transactions!$E:$E,Transactions!$I:$I,Classifications!F$49,Transactions!$H:$H,$B31))</f>
        <v>0</v>
      </c>
      <c r="H31" s="19">
        <f>ABS(SUMIFS(Transactions!$E:$E,Transactions!$I:$I,Classifications!G$49,Transactions!$H:$H,$B31))</f>
        <v>0</v>
      </c>
      <c r="I31" s="19">
        <f>ABS(SUMIFS(Transactions!$E:$E,Transactions!$I:$I,Classifications!H$49,Transactions!$H:$H,$B31))</f>
        <v>0</v>
      </c>
      <c r="J31" s="19">
        <f>ABS(SUMIFS(Transactions!$E:$E,Transactions!$I:$I,Classifications!I$49,Transactions!$H:$H,$B31))</f>
        <v>0</v>
      </c>
      <c r="K31" s="19">
        <f>ABS(SUMIFS(Transactions!$E:$E,Transactions!$I:$I,Classifications!J$49,Transactions!$H:$H,$B31))</f>
        <v>0</v>
      </c>
      <c r="L31" s="19">
        <f>ABS(SUMIFS(Transactions!$E:$E,Transactions!$I:$I,Classifications!K$49,Transactions!$H:$H,$B31))</f>
        <v>0</v>
      </c>
      <c r="M31" s="19">
        <f>ABS(SUMIFS(Transactions!$E:$E,Transactions!$I:$I,Classifications!L$49,Transactions!$H:$H,$B31))</f>
        <v>0</v>
      </c>
      <c r="N31" s="19">
        <f>ABS(SUMIFS(Transactions!$E:$E,Transactions!$I:$I,Classifications!M$49,Transactions!$H:$H,$B31))</f>
        <v>0</v>
      </c>
      <c r="O31" s="81">
        <f t="shared" si="2"/>
        <v>0</v>
      </c>
    </row>
    <row r="32" spans="2:15" x14ac:dyDescent="0.3">
      <c r="B32" s="20" t="s">
        <v>35</v>
      </c>
      <c r="C32" s="19">
        <f>ABS(SUMIFS(Transactions!$E:$E,Transactions!$I:$I,Classifications!B$49,Transactions!$H:$H,$B32))</f>
        <v>0</v>
      </c>
      <c r="D32" s="19">
        <f>ABS(SUMIFS(Transactions!$E:$E,Transactions!$I:$I,Classifications!C$49,Transactions!$H:$H,$B32))</f>
        <v>0</v>
      </c>
      <c r="E32" s="19">
        <f>ABS(SUMIFS(Transactions!$E:$E,Transactions!$I:$I,Classifications!D$49,Transactions!$H:$H,$B32))</f>
        <v>0</v>
      </c>
      <c r="F32" s="19">
        <f>ABS(SUMIFS(Transactions!$E:$E,Transactions!$I:$I,Classifications!E$49,Transactions!$H:$H,$B32))</f>
        <v>0</v>
      </c>
      <c r="G32" s="19">
        <f>ABS(SUMIFS(Transactions!$E:$E,Transactions!$I:$I,Classifications!F$49,Transactions!$H:$H,$B32))</f>
        <v>0</v>
      </c>
      <c r="H32" s="19">
        <f>ABS(SUMIFS(Transactions!$E:$E,Transactions!$I:$I,Classifications!G$49,Transactions!$H:$H,$B32))</f>
        <v>0</v>
      </c>
      <c r="I32" s="19">
        <f>ABS(SUMIFS(Transactions!$E:$E,Transactions!$I:$I,Classifications!H$49,Transactions!$H:$H,$B32))</f>
        <v>0</v>
      </c>
      <c r="J32" s="19">
        <f>ABS(SUMIFS(Transactions!$E:$E,Transactions!$I:$I,Classifications!I$49,Transactions!$H:$H,$B32))</f>
        <v>0</v>
      </c>
      <c r="K32" s="19">
        <f>ABS(SUMIFS(Transactions!$E:$E,Transactions!$I:$I,Classifications!J$49,Transactions!$H:$H,$B32))</f>
        <v>0</v>
      </c>
      <c r="L32" s="19">
        <f>ABS(SUMIFS(Transactions!$E:$E,Transactions!$I:$I,Classifications!K$49,Transactions!$H:$H,$B32))</f>
        <v>0</v>
      </c>
      <c r="M32" s="19">
        <f>ABS(SUMIFS(Transactions!$E:$E,Transactions!$I:$I,Classifications!L$49,Transactions!$H:$H,$B32))</f>
        <v>0</v>
      </c>
      <c r="N32" s="19">
        <f>ABS(SUMIFS(Transactions!$E:$E,Transactions!$I:$I,Classifications!M$49,Transactions!$H:$H,$B32))</f>
        <v>0</v>
      </c>
      <c r="O32" s="81">
        <f t="shared" si="2"/>
        <v>0</v>
      </c>
    </row>
    <row r="33" spans="2:15" x14ac:dyDescent="0.3">
      <c r="B33" s="93" t="s">
        <v>76</v>
      </c>
      <c r="C33" s="94">
        <f>SUM(C10:C32)</f>
        <v>800</v>
      </c>
      <c r="D33" s="94">
        <f t="shared" ref="D33:N33" si="3">SUM(D10:D32)</f>
        <v>0</v>
      </c>
      <c r="E33" s="94">
        <f t="shared" si="3"/>
        <v>0</v>
      </c>
      <c r="F33" s="94">
        <f t="shared" si="3"/>
        <v>0</v>
      </c>
      <c r="G33" s="94">
        <f t="shared" si="3"/>
        <v>0</v>
      </c>
      <c r="H33" s="94">
        <f t="shared" si="3"/>
        <v>0</v>
      </c>
      <c r="I33" s="94">
        <f t="shared" si="3"/>
        <v>0</v>
      </c>
      <c r="J33" s="94">
        <f t="shared" si="3"/>
        <v>0</v>
      </c>
      <c r="K33" s="94">
        <f t="shared" si="3"/>
        <v>0</v>
      </c>
      <c r="L33" s="94">
        <f t="shared" si="3"/>
        <v>0</v>
      </c>
      <c r="M33" s="94">
        <f t="shared" si="3"/>
        <v>0</v>
      </c>
      <c r="N33" s="94">
        <f t="shared" si="3"/>
        <v>0</v>
      </c>
      <c r="O33" s="81">
        <f t="shared" si="2"/>
        <v>800</v>
      </c>
    </row>
    <row r="34" spans="2:15" x14ac:dyDescent="0.3">
      <c r="O34" s="81"/>
    </row>
    <row r="35" spans="2:15" x14ac:dyDescent="0.3">
      <c r="B35" s="28" t="s">
        <v>39</v>
      </c>
      <c r="C35" s="40">
        <f t="shared" ref="C35:N35" si="4">C8-C33</f>
        <v>-800</v>
      </c>
      <c r="D35" s="40">
        <f t="shared" si="4"/>
        <v>0</v>
      </c>
      <c r="E35" s="40">
        <f t="shared" si="4"/>
        <v>0</v>
      </c>
      <c r="F35" s="40">
        <f t="shared" si="4"/>
        <v>0</v>
      </c>
      <c r="G35" s="40">
        <f t="shared" si="4"/>
        <v>0</v>
      </c>
      <c r="H35" s="40">
        <f t="shared" si="4"/>
        <v>0</v>
      </c>
      <c r="I35" s="40">
        <f t="shared" si="4"/>
        <v>0</v>
      </c>
      <c r="J35" s="40">
        <f t="shared" si="4"/>
        <v>0</v>
      </c>
      <c r="K35" s="40">
        <f t="shared" si="4"/>
        <v>0</v>
      </c>
      <c r="L35" s="40">
        <f t="shared" si="4"/>
        <v>0</v>
      </c>
      <c r="M35" s="40">
        <f t="shared" si="4"/>
        <v>0</v>
      </c>
      <c r="N35" s="40">
        <f t="shared" si="4"/>
        <v>0</v>
      </c>
      <c r="O35" s="81">
        <f t="shared" si="2"/>
        <v>-800</v>
      </c>
    </row>
    <row r="36" spans="2:15" x14ac:dyDescent="0.3">
      <c r="B36" s="20" t="s">
        <v>100</v>
      </c>
      <c r="C36" s="19">
        <f>ABS(SUMIFS(Transactions!$E:$E,Transactions!$I:$I,Classifications!B$49,Transactions!$H:$H,"*depreciation*"))</f>
        <v>0</v>
      </c>
      <c r="D36" s="19">
        <f>ABS(SUMIFS(Transactions!$E:$E,Transactions!$I:$I,Classifications!C$49,Transactions!$H:$H,"*depreciation*"))</f>
        <v>0</v>
      </c>
      <c r="E36" s="19">
        <f>ABS(SUMIFS(Transactions!$E:$E,Transactions!$I:$I,Classifications!D$49,Transactions!$H:$H,"*depreciation*"))</f>
        <v>0</v>
      </c>
      <c r="F36" s="19">
        <f>ABS(SUMIFS(Transactions!$E:$E,Transactions!$I:$I,Classifications!E$49,Transactions!$H:$H,"*depreciation*"))</f>
        <v>0</v>
      </c>
      <c r="G36" s="19">
        <f>ABS(SUMIFS(Transactions!$E:$E,Transactions!$I:$I,Classifications!F$49,Transactions!$H:$H,"*depreciation*"))</f>
        <v>0</v>
      </c>
      <c r="H36" s="19">
        <f>ABS(SUMIFS(Transactions!$E:$E,Transactions!$I:$I,Classifications!G$49,Transactions!$H:$H,"*depreciation*"))</f>
        <v>0</v>
      </c>
      <c r="I36" s="19">
        <f>ABS(SUMIFS(Transactions!$E:$E,Transactions!$I:$I,Classifications!H$49,Transactions!$H:$H,"*depreciation*"))</f>
        <v>0</v>
      </c>
      <c r="J36" s="19">
        <f>ABS(SUMIFS(Transactions!$E:$E,Transactions!$I:$I,Classifications!I$49,Transactions!$H:$H,"*depreciation*"))</f>
        <v>0</v>
      </c>
      <c r="K36" s="19">
        <f>ABS(SUMIFS(Transactions!$E:$E,Transactions!$I:$I,Classifications!J$49,Transactions!$H:$H,"*depreciation*"))</f>
        <v>0</v>
      </c>
      <c r="L36" s="19">
        <f>ABS(SUMIFS(Transactions!$E:$E,Transactions!$I:$I,Classifications!K$49,Transactions!$H:$H,"*depreciation*"))</f>
        <v>0</v>
      </c>
      <c r="M36" s="19">
        <f>ABS(SUMIFS(Transactions!$E:$E,Transactions!$I:$I,Classifications!L$49,Transactions!$H:$H,"*depreciation*"))</f>
        <v>0</v>
      </c>
      <c r="N36" s="19">
        <f>ABS(SUMIFS(Transactions!$E:$E,Transactions!$I:$I,Classifications!M$49,Transactions!$H:$H,"*depreciation*"))</f>
        <v>0</v>
      </c>
      <c r="O36" s="81">
        <f t="shared" si="2"/>
        <v>0</v>
      </c>
    </row>
    <row r="37" spans="2:15" x14ac:dyDescent="0.3">
      <c r="B37" s="20" t="s">
        <v>86</v>
      </c>
      <c r="C37" s="19">
        <f>ABS(SUMIFS(Transactions!$E:$E,Transactions!$I:$I,Classifications!B$49,Transactions!$H:$H,$B37))</f>
        <v>0</v>
      </c>
      <c r="D37" s="19">
        <f>ABS(SUMIFS(Transactions!$E:$E,Transactions!$I:$I,Classifications!C$49,Transactions!$H:$H,$B37))</f>
        <v>0</v>
      </c>
      <c r="E37" s="19">
        <f>ABS(SUMIFS(Transactions!$E:$E,Transactions!$I:$I,Classifications!D$49,Transactions!$H:$H,$B37))</f>
        <v>0</v>
      </c>
      <c r="F37" s="19">
        <f>ABS(SUMIFS(Transactions!$E:$E,Transactions!$I:$I,Classifications!E$49,Transactions!$H:$H,$B37))</f>
        <v>0</v>
      </c>
      <c r="G37" s="19">
        <f>ABS(SUMIFS(Transactions!$E:$E,Transactions!$I:$I,Classifications!F$49,Transactions!$H:$H,$B37))</f>
        <v>0</v>
      </c>
      <c r="H37" s="19">
        <f>ABS(SUMIFS(Transactions!$E:$E,Transactions!$I:$I,Classifications!G$49,Transactions!$H:$H,$B37))</f>
        <v>0</v>
      </c>
      <c r="I37" s="19">
        <f>ABS(SUMIFS(Transactions!$E:$E,Transactions!$I:$I,Classifications!H$49,Transactions!$H:$H,$B37))</f>
        <v>0</v>
      </c>
      <c r="J37" s="19">
        <f>ABS(SUMIFS(Transactions!$E:$E,Transactions!$I:$I,Classifications!I$49,Transactions!$H:$H,$B37))</f>
        <v>0</v>
      </c>
      <c r="K37" s="19">
        <f>ABS(SUMIFS(Transactions!$E:$E,Transactions!$I:$I,Classifications!J$49,Transactions!$H:$H,$B37))</f>
        <v>0</v>
      </c>
      <c r="L37" s="19">
        <f>ABS(SUMIFS(Transactions!$E:$E,Transactions!$I:$I,Classifications!K$49,Transactions!$H:$H,$B37))</f>
        <v>0</v>
      </c>
      <c r="M37" s="19">
        <f>ABS(SUMIFS(Transactions!$E:$E,Transactions!$I:$I,Classifications!L$49,Transactions!$H:$H,$B37))</f>
        <v>0</v>
      </c>
      <c r="N37" s="19">
        <f>ABS(SUMIFS(Transactions!$E:$E,Transactions!$I:$I,Classifications!M$49,Transactions!$H:$H,$B37))</f>
        <v>0</v>
      </c>
      <c r="O37" s="81">
        <f t="shared" si="2"/>
        <v>0</v>
      </c>
    </row>
    <row r="38" spans="2:15" x14ac:dyDescent="0.3">
      <c r="B38" s="20" t="s">
        <v>84</v>
      </c>
      <c r="C38" s="19">
        <f>ABS(SUMIFS(Transactions!$D:$D,Transactions!$I:$I,Classifications!B$49,Transactions!$H:$H,$B38))</f>
        <v>0</v>
      </c>
      <c r="D38" s="19">
        <f>ABS(SUMIFS(Transactions!$D:$D,Transactions!$I:$I,Classifications!C$49,Transactions!$H:$H,$B38))</f>
        <v>0</v>
      </c>
      <c r="E38" s="19">
        <f>ABS(SUMIFS(Transactions!$D:$D,Transactions!$I:$I,Classifications!D$49,Transactions!$H:$H,$B38))</f>
        <v>0</v>
      </c>
      <c r="F38" s="19">
        <f>ABS(SUMIFS(Transactions!$D:$D,Transactions!$I:$I,Classifications!E$49,Transactions!$H:$H,$B38))</f>
        <v>0</v>
      </c>
      <c r="G38" s="19">
        <f>ABS(SUMIFS(Transactions!$D:$D,Transactions!$I:$I,Classifications!F$49,Transactions!$H:$H,$B38))</f>
        <v>0</v>
      </c>
      <c r="H38" s="19">
        <f>ABS(SUMIFS(Transactions!$D:$D,Transactions!$I:$I,Classifications!G$49,Transactions!$H:$H,$B38))</f>
        <v>0</v>
      </c>
      <c r="I38" s="19">
        <f>ABS(SUMIFS(Transactions!$D:$D,Transactions!$I:$I,Classifications!H$49,Transactions!$H:$H,$B38))</f>
        <v>0</v>
      </c>
      <c r="J38" s="19">
        <f>ABS(SUMIFS(Transactions!$D:$D,Transactions!$I:$I,Classifications!I$49,Transactions!$H:$H,$B38))</f>
        <v>0</v>
      </c>
      <c r="K38" s="19">
        <f>ABS(SUMIFS(Transactions!$D:$D,Transactions!$I:$I,Classifications!J$49,Transactions!$H:$H,$B38))</f>
        <v>0</v>
      </c>
      <c r="L38" s="19">
        <f>ABS(SUMIFS(Transactions!$D:$D,Transactions!$I:$I,Classifications!K$49,Transactions!$H:$H,$B38))</f>
        <v>0</v>
      </c>
      <c r="M38" s="19">
        <f>ABS(SUMIFS(Transactions!$D:$D,Transactions!$I:$I,Classifications!L$49,Transactions!$H:$H,$B38))</f>
        <v>0</v>
      </c>
      <c r="N38" s="19">
        <f>ABS(SUMIFS(Transactions!$D:$D,Transactions!$I:$I,Classifications!M$49,Transactions!$H:$H,$B38))</f>
        <v>0</v>
      </c>
      <c r="O38" s="81">
        <f t="shared" si="2"/>
        <v>0</v>
      </c>
    </row>
    <row r="39" spans="2:15" x14ac:dyDescent="0.3">
      <c r="B39" s="20" t="s">
        <v>138</v>
      </c>
      <c r="C39" s="19">
        <f>ABS(SUMIFS(Transactions!$D:$D,Transactions!$I:$I,Classifications!B$49,Transactions!$H:$H,"*bank*"))</f>
        <v>0</v>
      </c>
      <c r="D39" s="19">
        <f>ABS(SUMIFS(Transactions!$D:$D,Transactions!$I:$I,Classifications!C$49,Transactions!$H:$H,"*bank*"))</f>
        <v>0</v>
      </c>
      <c r="E39" s="19">
        <f>ABS(SUMIFS(Transactions!$D:$D,Transactions!$I:$I,Classifications!D$49,Transactions!$H:$H,"*bank*"))</f>
        <v>0</v>
      </c>
      <c r="F39" s="19">
        <f>ABS(SUMIFS(Transactions!$D:$D,Transactions!$I:$I,Classifications!E$49,Transactions!$H:$H,"*bank*"))</f>
        <v>0</v>
      </c>
      <c r="G39" s="19">
        <f>ABS(SUMIFS(Transactions!$D:$D,Transactions!$I:$I,Classifications!F$49,Transactions!$H:$H,"*bank*"))</f>
        <v>0</v>
      </c>
      <c r="H39" s="19">
        <f>ABS(SUMIFS(Transactions!$D:$D,Transactions!$I:$I,Classifications!G$49,Transactions!$H:$H,"*bank*"))</f>
        <v>0</v>
      </c>
      <c r="I39" s="19">
        <f>ABS(SUMIFS(Transactions!$D:$D,Transactions!$I:$I,Classifications!H$49,Transactions!$H:$H,"*bank*"))</f>
        <v>0</v>
      </c>
      <c r="J39" s="19">
        <f>ABS(SUMIFS(Transactions!$D:$D,Transactions!$I:$I,Classifications!I$49,Transactions!$H:$H,"*bank*"))</f>
        <v>0</v>
      </c>
      <c r="K39" s="19">
        <f>ABS(SUMIFS(Transactions!$D:$D,Transactions!$I:$I,Classifications!J$49,Transactions!$H:$H,"*bank*"))</f>
        <v>0</v>
      </c>
      <c r="L39" s="19">
        <f>ABS(SUMIFS(Transactions!$D:$D,Transactions!$I:$I,Classifications!K$49,Transactions!$H:$H,"*bank*"))</f>
        <v>0</v>
      </c>
      <c r="M39" s="19">
        <f>ABS(SUMIFS(Transactions!$D:$D,Transactions!$I:$I,Classifications!L$49,Transactions!$H:$H,"*bank*"))</f>
        <v>0</v>
      </c>
      <c r="N39" s="19">
        <f>ABS(SUMIFS(Transactions!$D:$D,Transactions!$I:$I,Classifications!M$49,Transactions!$H:$H,"*bank*"))</f>
        <v>0</v>
      </c>
      <c r="O39" s="81">
        <f t="shared" si="2"/>
        <v>0</v>
      </c>
    </row>
    <row r="40" spans="2:15" x14ac:dyDescent="0.3">
      <c r="B40" s="77" t="s">
        <v>77</v>
      </c>
      <c r="C40" s="78">
        <f>C35-C36-C37+C38+C39</f>
        <v>-800</v>
      </c>
      <c r="D40" s="78">
        <f t="shared" ref="D40:N40" si="5">D35-D36-D37+D38+D39</f>
        <v>0</v>
      </c>
      <c r="E40" s="78">
        <f t="shared" si="5"/>
        <v>0</v>
      </c>
      <c r="F40" s="78">
        <f t="shared" si="5"/>
        <v>0</v>
      </c>
      <c r="G40" s="78">
        <f t="shared" si="5"/>
        <v>0</v>
      </c>
      <c r="H40" s="78">
        <f t="shared" si="5"/>
        <v>0</v>
      </c>
      <c r="I40" s="78">
        <f t="shared" si="5"/>
        <v>0</v>
      </c>
      <c r="J40" s="78">
        <f t="shared" si="5"/>
        <v>0</v>
      </c>
      <c r="K40" s="78">
        <f t="shared" si="5"/>
        <v>0</v>
      </c>
      <c r="L40" s="78">
        <f t="shared" si="5"/>
        <v>0</v>
      </c>
      <c r="M40" s="78">
        <f t="shared" si="5"/>
        <v>0</v>
      </c>
      <c r="N40" s="78">
        <f t="shared" si="5"/>
        <v>0</v>
      </c>
      <c r="O40" s="16"/>
    </row>
    <row r="41" spans="2:15" x14ac:dyDescent="0.3">
      <c r="O41" s="16"/>
    </row>
    <row r="42" spans="2:15" x14ac:dyDescent="0.3">
      <c r="B42" s="98" t="s">
        <v>79</v>
      </c>
      <c r="C42" s="99">
        <f t="shared" ref="C42:N42" si="6">C4+C40</f>
        <v>-800</v>
      </c>
      <c r="D42" s="99">
        <f t="shared" si="6"/>
        <v>-800</v>
      </c>
      <c r="E42" s="99">
        <f t="shared" si="6"/>
        <v>-800</v>
      </c>
      <c r="F42" s="99">
        <f t="shared" si="6"/>
        <v>-800</v>
      </c>
      <c r="G42" s="99">
        <f t="shared" si="6"/>
        <v>-800</v>
      </c>
      <c r="H42" s="99">
        <f t="shared" si="6"/>
        <v>-800</v>
      </c>
      <c r="I42" s="99">
        <f t="shared" si="6"/>
        <v>-800</v>
      </c>
      <c r="J42" s="99">
        <f t="shared" si="6"/>
        <v>-800</v>
      </c>
      <c r="K42" s="99">
        <f t="shared" si="6"/>
        <v>-800</v>
      </c>
      <c r="L42" s="99">
        <f t="shared" si="6"/>
        <v>-800</v>
      </c>
      <c r="M42" s="99">
        <f t="shared" si="6"/>
        <v>-800</v>
      </c>
      <c r="N42" s="99">
        <f t="shared" si="6"/>
        <v>-800</v>
      </c>
      <c r="O42" s="16"/>
    </row>
  </sheetData>
  <mergeCells count="1">
    <mergeCell ref="A1:N2"/>
  </mergeCells>
  <pageMargins left="0.7" right="0.7" top="0.75" bottom="0.75" header="0.3" footer="0.3"/>
  <pageSetup orientation="portrait" verticalDpi="0" r:id="rId1"/>
  <ignoredErrors>
    <ignoredError sqref="C17:N17 C25:N25" formula="1"/>
  </ignoredErrors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  <pageSetUpPr fitToPage="1"/>
  </sheetPr>
  <dimension ref="A1:J33"/>
  <sheetViews>
    <sheetView zoomScale="153" zoomScaleNormal="153" zoomScalePageLayoutView="95" workbookViewId="0">
      <selection activeCell="D7" sqref="D7"/>
    </sheetView>
  </sheetViews>
  <sheetFormatPr defaultColWidth="11" defaultRowHeight="15.6" x14ac:dyDescent="0.3"/>
  <cols>
    <col min="1" max="1" width="13.33203125" style="6" bestFit="1" customWidth="1"/>
    <col min="2" max="2" width="14.6640625" style="6" customWidth="1"/>
    <col min="3" max="3" width="10.6640625" style="107" customWidth="1"/>
    <col min="4" max="4" width="18.33203125" style="112" bestFit="1" customWidth="1"/>
    <col min="5" max="5" width="18" style="112" bestFit="1" customWidth="1"/>
    <col min="6" max="6" width="19.6640625" style="5" bestFit="1" customWidth="1"/>
    <col min="7" max="7" width="9.6640625" style="107" bestFit="1" customWidth="1"/>
    <col min="8" max="8" width="20" style="107" bestFit="1" customWidth="1"/>
    <col min="9" max="9" width="15.6640625" hidden="1" customWidth="1"/>
    <col min="10" max="10" width="0" hidden="1" customWidth="1"/>
  </cols>
  <sheetData>
    <row r="1" spans="1:10" ht="51" customHeight="1" x14ac:dyDescent="0.3">
      <c r="A1" s="131"/>
      <c r="B1" s="131"/>
      <c r="C1" s="131"/>
      <c r="D1" s="131"/>
      <c r="E1" s="131"/>
      <c r="F1" s="131"/>
      <c r="G1" s="131"/>
      <c r="H1" s="131"/>
    </row>
    <row r="2" spans="1:10" ht="25.5" customHeight="1" x14ac:dyDescent="0.3">
      <c r="A2" s="134" t="s">
        <v>139</v>
      </c>
      <c r="B2" s="134"/>
      <c r="C2" s="134"/>
      <c r="D2" s="134"/>
      <c r="E2" s="134"/>
      <c r="F2" s="134"/>
      <c r="G2" s="134"/>
      <c r="H2" s="134"/>
    </row>
    <row r="3" spans="1:10" ht="15" customHeight="1" x14ac:dyDescent="0.3">
      <c r="A3" s="87" t="s">
        <v>168</v>
      </c>
      <c r="B3" s="87" t="s">
        <v>177</v>
      </c>
      <c r="C3" s="87" t="s">
        <v>175</v>
      </c>
      <c r="D3" s="108" t="s">
        <v>172</v>
      </c>
      <c r="E3" s="108" t="s">
        <v>173</v>
      </c>
      <c r="F3" s="87" t="s">
        <v>161</v>
      </c>
      <c r="G3" s="87" t="s">
        <v>170</v>
      </c>
      <c r="H3" s="87" t="s">
        <v>171</v>
      </c>
      <c r="I3" s="97" t="s">
        <v>178</v>
      </c>
      <c r="J3" s="97" t="s">
        <v>179</v>
      </c>
    </row>
    <row r="4" spans="1:10" ht="15" customHeight="1" x14ac:dyDescent="0.3">
      <c r="A4" s="83"/>
      <c r="B4" s="113"/>
      <c r="C4" s="103"/>
      <c r="D4" s="109"/>
      <c r="E4" s="110"/>
      <c r="F4" s="84"/>
      <c r="G4" s="112"/>
      <c r="H4" s="104">
        <f>Miles[Miles]*'IRS Mileage'!$B$4</f>
        <v>0</v>
      </c>
      <c r="I4" s="107">
        <f>IF(Miles[Trip Date]="",0,MONTH(Miles[Trip Date]))</f>
        <v>0</v>
      </c>
      <c r="J4" s="107" t="e">
        <f>VLOOKUP(Miles[Calculation2],Classifications!$E$50:$F$62,2,FALSE)</f>
        <v>#N/A</v>
      </c>
    </row>
    <row r="5" spans="1:10" x14ac:dyDescent="0.3">
      <c r="A5" s="123" t="s">
        <v>180</v>
      </c>
      <c r="B5" s="123"/>
      <c r="C5" s="123"/>
      <c r="D5" s="124"/>
      <c r="E5" s="124"/>
      <c r="F5" s="125"/>
      <c r="G5" s="122">
        <f>SUBTOTAL(109,Miles[Miles])</f>
        <v>0</v>
      </c>
      <c r="H5" s="126">
        <f>SUBTOTAL(109,Miles[Mileage Expense])</f>
        <v>0</v>
      </c>
      <c r="I5">
        <f>SUBTOTAL(109,Miles[Calculation2])</f>
        <v>0</v>
      </c>
    </row>
    <row r="6" spans="1:10" x14ac:dyDescent="0.3">
      <c r="D6" s="14"/>
      <c r="E6" s="100"/>
      <c r="F6"/>
    </row>
    <row r="7" spans="1:10" ht="17.399999999999999" x14ac:dyDescent="0.4">
      <c r="D7" s="14"/>
      <c r="E7" s="100"/>
      <c r="F7"/>
      <c r="G7" s="13"/>
    </row>
    <row r="8" spans="1:10" x14ac:dyDescent="0.3">
      <c r="D8" s="14"/>
      <c r="E8" s="100"/>
      <c r="F8"/>
    </row>
    <row r="9" spans="1:10" x14ac:dyDescent="0.3">
      <c r="D9" s="14"/>
      <c r="E9" s="100"/>
      <c r="F9"/>
    </row>
    <row r="10" spans="1:10" x14ac:dyDescent="0.3">
      <c r="D10" s="14"/>
      <c r="E10" s="100"/>
      <c r="F10"/>
    </row>
    <row r="11" spans="1:10" x14ac:dyDescent="0.3">
      <c r="D11"/>
      <c r="E11"/>
      <c r="F11"/>
    </row>
    <row r="12" spans="1:10" x14ac:dyDescent="0.3">
      <c r="D12"/>
      <c r="E12"/>
      <c r="F12"/>
    </row>
    <row r="13" spans="1:10" x14ac:dyDescent="0.3">
      <c r="D13"/>
      <c r="E13"/>
      <c r="F13"/>
      <c r="G13" s="4"/>
      <c r="H13" s="4"/>
    </row>
    <row r="14" spans="1:10" x14ac:dyDescent="0.3">
      <c r="D14"/>
      <c r="E14"/>
      <c r="F14"/>
      <c r="G14" s="9"/>
    </row>
    <row r="15" spans="1:10" x14ac:dyDescent="0.3">
      <c r="D15"/>
      <c r="E15"/>
      <c r="F15"/>
      <c r="G15" s="9"/>
      <c r="H15" s="4"/>
    </row>
    <row r="16" spans="1:10" x14ac:dyDescent="0.3">
      <c r="D16"/>
      <c r="E16"/>
      <c r="F16"/>
    </row>
    <row r="17" spans="4:8" x14ac:dyDescent="0.3">
      <c r="D17"/>
      <c r="E17"/>
      <c r="F17"/>
    </row>
    <row r="18" spans="4:8" x14ac:dyDescent="0.3">
      <c r="D18"/>
      <c r="E18"/>
      <c r="F18"/>
    </row>
    <row r="19" spans="4:8" x14ac:dyDescent="0.3">
      <c r="D19"/>
      <c r="E19"/>
      <c r="F19"/>
      <c r="H19" s="4"/>
    </row>
    <row r="20" spans="4:8" x14ac:dyDescent="0.3">
      <c r="D20"/>
      <c r="E20"/>
      <c r="F20"/>
      <c r="G20" s="9"/>
      <c r="H20" s="4"/>
    </row>
    <row r="21" spans="4:8" x14ac:dyDescent="0.3">
      <c r="D21"/>
      <c r="E21"/>
      <c r="F21"/>
      <c r="H21" s="4"/>
    </row>
    <row r="22" spans="4:8" x14ac:dyDescent="0.3">
      <c r="D22"/>
      <c r="E22"/>
      <c r="F22"/>
    </row>
    <row r="23" spans="4:8" x14ac:dyDescent="0.3">
      <c r="D23" s="111"/>
      <c r="H23" s="2"/>
    </row>
    <row r="24" spans="4:8" x14ac:dyDescent="0.3">
      <c r="D24" s="111"/>
      <c r="H24" s="2"/>
    </row>
    <row r="25" spans="4:8" x14ac:dyDescent="0.3">
      <c r="D25" s="111"/>
      <c r="H25" s="2"/>
    </row>
    <row r="29" spans="4:8" x14ac:dyDescent="0.3">
      <c r="D29" s="111"/>
      <c r="H29" s="2"/>
    </row>
    <row r="30" spans="4:8" x14ac:dyDescent="0.3">
      <c r="D30" s="111"/>
      <c r="H30" s="2"/>
    </row>
    <row r="33" spans="4:8" x14ac:dyDescent="0.3">
      <c r="D33" s="111"/>
      <c r="H33" s="2"/>
    </row>
  </sheetData>
  <mergeCells count="2">
    <mergeCell ref="A1:H1"/>
    <mergeCell ref="A2:H2"/>
  </mergeCells>
  <dataValidations count="1">
    <dataValidation allowBlank="1" showErrorMessage="1" sqref="F23:F1048576"/>
  </dataValidations>
  <pageMargins left="0.75" right="0.75" top="1" bottom="1" header="0.5" footer="0.5"/>
  <pageSetup orientation="portrait" verticalDpi="0" r:id="rId1"/>
  <drawing r:id="rId2"/>
  <tableParts count="1">
    <tablePart r:id="rId3"/>
  </tableParts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ErrorMessage="1">
          <x14:formula1>
            <xm:f>Classifications!$A$102:$A$107</xm:f>
          </x14:formula1>
          <xm:sqref>F4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/>
    <pageSetUpPr fitToPage="1"/>
  </sheetPr>
  <dimension ref="A1:P33"/>
  <sheetViews>
    <sheetView zoomScale="88" zoomScaleNormal="88" zoomScalePageLayoutView="95" workbookViewId="0">
      <selection activeCell="G4" sqref="G4"/>
    </sheetView>
  </sheetViews>
  <sheetFormatPr defaultColWidth="11" defaultRowHeight="15.6" x14ac:dyDescent="0.3"/>
  <cols>
    <col min="1" max="1" width="13.33203125" style="6" bestFit="1" customWidth="1"/>
    <col min="2" max="2" width="16.77734375" style="6" bestFit="1" customWidth="1"/>
    <col min="3" max="3" width="25.109375" style="107" bestFit="1" customWidth="1"/>
    <col min="4" max="4" width="11.88671875" style="5" bestFit="1" customWidth="1"/>
    <col min="5" max="5" width="11.21875" style="5" bestFit="1" customWidth="1"/>
    <col min="6" max="6" width="10.33203125" style="5" bestFit="1" customWidth="1"/>
    <col min="7" max="7" width="23.109375" style="107" bestFit="1" customWidth="1"/>
    <col min="8" max="8" width="37" style="107" bestFit="1" customWidth="1"/>
    <col min="9" max="9" width="15.6640625" customWidth="1"/>
    <col min="10" max="10" width="9.33203125" bestFit="1" customWidth="1"/>
    <col min="11" max="11" width="10.44140625" bestFit="1" customWidth="1"/>
    <col min="12" max="12" width="11.88671875" bestFit="1" customWidth="1"/>
    <col min="13" max="13" width="19.109375" bestFit="1" customWidth="1"/>
    <col min="14" max="14" width="23.21875" bestFit="1" customWidth="1"/>
    <col min="15" max="15" width="17.77734375" bestFit="1" customWidth="1"/>
    <col min="16" max="16" width="17.109375" customWidth="1"/>
  </cols>
  <sheetData>
    <row r="1" spans="1:16" ht="81" customHeight="1" x14ac:dyDescent="0.3">
      <c r="A1" s="131"/>
      <c r="B1" s="131"/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</row>
    <row r="2" spans="1:16" ht="23.25" customHeight="1" x14ac:dyDescent="0.3">
      <c r="A2" s="131"/>
      <c r="B2" s="131"/>
      <c r="C2" s="131"/>
      <c r="D2" s="131"/>
      <c r="E2" s="131"/>
      <c r="F2" s="131"/>
      <c r="G2" s="131"/>
      <c r="H2" s="131"/>
      <c r="I2" s="131"/>
      <c r="J2" s="131"/>
      <c r="K2" s="131"/>
      <c r="L2" s="131"/>
      <c r="M2" s="131"/>
      <c r="N2" s="131"/>
      <c r="O2" s="131"/>
      <c r="P2" s="131"/>
    </row>
    <row r="3" spans="1:16" ht="15" customHeight="1" thickBot="1" x14ac:dyDescent="0.35">
      <c r="A3" s="114" t="s">
        <v>141</v>
      </c>
      <c r="B3" s="114" t="s">
        <v>144</v>
      </c>
      <c r="C3" s="114" t="s">
        <v>145</v>
      </c>
      <c r="D3" s="114" t="s">
        <v>146</v>
      </c>
      <c r="E3" s="114" t="s">
        <v>147</v>
      </c>
      <c r="F3" s="114" t="s">
        <v>148</v>
      </c>
      <c r="G3" s="114" t="s">
        <v>149</v>
      </c>
      <c r="H3" s="114" t="s">
        <v>150</v>
      </c>
      <c r="I3" s="114" t="s">
        <v>151</v>
      </c>
      <c r="J3" s="114" t="s">
        <v>152</v>
      </c>
      <c r="K3" s="115" t="s">
        <v>153</v>
      </c>
      <c r="L3" s="115" t="s">
        <v>154</v>
      </c>
      <c r="M3" s="115" t="s">
        <v>155</v>
      </c>
      <c r="N3" s="115" t="s">
        <v>156</v>
      </c>
      <c r="O3" s="115" t="s">
        <v>157</v>
      </c>
      <c r="P3" s="115" t="s">
        <v>158</v>
      </c>
    </row>
    <row r="4" spans="1:16" s="14" customFormat="1" ht="15" customHeight="1" thickTop="1" x14ac:dyDescent="0.3">
      <c r="A4" s="116"/>
      <c r="B4" s="117"/>
      <c r="C4" s="118"/>
      <c r="D4" s="119"/>
      <c r="E4" s="120"/>
      <c r="F4" s="117"/>
      <c r="G4" s="121"/>
      <c r="H4" s="116"/>
    </row>
    <row r="5" spans="1:16" x14ac:dyDescent="0.3">
      <c r="D5" s="105"/>
      <c r="F5" s="107"/>
    </row>
    <row r="6" spans="1:16" x14ac:dyDescent="0.3">
      <c r="D6" s="105"/>
      <c r="F6" s="107"/>
    </row>
    <row r="7" spans="1:16" ht="17.399999999999999" x14ac:dyDescent="0.4">
      <c r="F7" s="107"/>
      <c r="G7" s="13"/>
    </row>
    <row r="8" spans="1:16" x14ac:dyDescent="0.3">
      <c r="F8" s="107"/>
    </row>
    <row r="9" spans="1:16" x14ac:dyDescent="0.3">
      <c r="F9" s="107"/>
    </row>
    <row r="13" spans="1:16" x14ac:dyDescent="0.3">
      <c r="D13" s="12"/>
      <c r="E13" s="12"/>
      <c r="F13" s="12"/>
      <c r="G13" s="4"/>
      <c r="H13" s="4"/>
    </row>
    <row r="14" spans="1:16" x14ac:dyDescent="0.3">
      <c r="G14" s="9"/>
    </row>
    <row r="15" spans="1:16" x14ac:dyDescent="0.3">
      <c r="D15" s="105"/>
      <c r="G15" s="9"/>
      <c r="H15" s="4"/>
    </row>
    <row r="19" spans="4:8" x14ac:dyDescent="0.3">
      <c r="D19" s="106"/>
      <c r="H19" s="4"/>
    </row>
    <row r="20" spans="4:8" x14ac:dyDescent="0.3">
      <c r="D20" s="105"/>
      <c r="G20" s="9"/>
      <c r="H20" s="4"/>
    </row>
    <row r="21" spans="4:8" x14ac:dyDescent="0.3">
      <c r="D21" s="105"/>
      <c r="H21" s="4"/>
    </row>
    <row r="23" spans="4:8" x14ac:dyDescent="0.3">
      <c r="D23" s="105"/>
      <c r="H23" s="2"/>
    </row>
    <row r="24" spans="4:8" x14ac:dyDescent="0.3">
      <c r="D24" s="105"/>
      <c r="H24" s="2"/>
    </row>
    <row r="25" spans="4:8" x14ac:dyDescent="0.3">
      <c r="D25" s="105"/>
      <c r="H25" s="2"/>
    </row>
    <row r="29" spans="4:8" x14ac:dyDescent="0.3">
      <c r="D29" s="105"/>
      <c r="H29" s="2"/>
    </row>
    <row r="30" spans="4:8" x14ac:dyDescent="0.3">
      <c r="D30" s="105"/>
      <c r="H30" s="2"/>
    </row>
    <row r="33" spans="4:8" x14ac:dyDescent="0.3">
      <c r="D33" s="105"/>
      <c r="H33" s="2"/>
    </row>
  </sheetData>
  <mergeCells count="1">
    <mergeCell ref="A1:P2"/>
  </mergeCells>
  <dataValidations count="2">
    <dataValidation showErrorMessage="1" sqref="H3:H1048576"/>
    <dataValidation allowBlank="1" showErrorMessage="1" sqref="F3:F1048576"/>
  </dataValidations>
  <pageMargins left="0.75" right="0.75" top="1" bottom="1" header="0.5" footer="0.5"/>
  <pageSetup orientation="portrait" verticalDpi="0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</sheetPr>
  <dimension ref="A1:O4"/>
  <sheetViews>
    <sheetView workbookViewId="0">
      <selection activeCell="O3" sqref="O3"/>
    </sheetView>
  </sheetViews>
  <sheetFormatPr defaultColWidth="9" defaultRowHeight="14.4" x14ac:dyDescent="0.3"/>
  <cols>
    <col min="1" max="2" width="18.33203125" style="88" customWidth="1"/>
    <col min="3" max="3" width="16" style="88" customWidth="1"/>
    <col min="4" max="4" width="16.44140625" style="88" customWidth="1"/>
    <col min="5" max="5" width="16.33203125" style="88" customWidth="1"/>
    <col min="6" max="6" width="7.88671875" style="88" customWidth="1"/>
    <col min="7" max="7" width="17.109375" style="88" customWidth="1"/>
    <col min="8" max="8" width="16.109375" style="88" customWidth="1"/>
    <col min="9" max="9" width="16" style="88" customWidth="1"/>
    <col min="10" max="10" width="8.88671875" style="88" customWidth="1"/>
    <col min="11" max="11" width="11" style="88" customWidth="1"/>
    <col min="12" max="12" width="14.21875" style="88" customWidth="1"/>
    <col min="13" max="13" width="18.77734375" style="88" customWidth="1"/>
    <col min="14" max="14" width="23.33203125" style="88" customWidth="1"/>
    <col min="15" max="15" width="16.77734375" style="88" customWidth="1"/>
    <col min="16" max="16384" width="9" style="88"/>
  </cols>
  <sheetData>
    <row r="1" spans="1:15" ht="61.5" customHeight="1" x14ac:dyDescent="0.3">
      <c r="A1" s="136"/>
      <c r="B1" s="136"/>
      <c r="C1" s="136"/>
      <c r="D1" s="136"/>
      <c r="E1" s="136"/>
      <c r="F1" s="136"/>
      <c r="G1" s="136"/>
      <c r="H1" s="136"/>
      <c r="I1" s="136"/>
      <c r="J1" s="136"/>
      <c r="K1" s="136"/>
      <c r="L1" s="136"/>
      <c r="M1" s="136"/>
      <c r="N1" s="136"/>
      <c r="O1" s="136"/>
    </row>
    <row r="2" spans="1:15" ht="25.5" customHeight="1" x14ac:dyDescent="0.35">
      <c r="A2" s="135" t="s">
        <v>159</v>
      </c>
      <c r="B2" s="135"/>
      <c r="C2" s="135"/>
      <c r="D2" s="135"/>
      <c r="E2" s="135"/>
      <c r="F2" s="135"/>
      <c r="G2" s="135"/>
      <c r="H2" s="135"/>
      <c r="I2" s="135"/>
      <c r="J2" s="135"/>
      <c r="K2" s="135"/>
      <c r="L2" s="135"/>
      <c r="M2" s="135"/>
      <c r="N2" s="135"/>
      <c r="O2" s="135"/>
    </row>
    <row r="3" spans="1:15" x14ac:dyDescent="0.3">
      <c r="A3" s="89" t="s">
        <v>141</v>
      </c>
      <c r="B3" s="89" t="s">
        <v>144</v>
      </c>
      <c r="C3" s="89" t="s">
        <v>145</v>
      </c>
      <c r="D3" s="89" t="s">
        <v>146</v>
      </c>
      <c r="E3" s="89" t="s">
        <v>147</v>
      </c>
      <c r="F3" s="89" t="s">
        <v>148</v>
      </c>
      <c r="G3" s="89" t="s">
        <v>149</v>
      </c>
      <c r="H3" s="89" t="s">
        <v>150</v>
      </c>
      <c r="I3" s="89" t="s">
        <v>151</v>
      </c>
      <c r="J3" s="89" t="s">
        <v>152</v>
      </c>
      <c r="K3" s="89" t="s">
        <v>153</v>
      </c>
      <c r="L3" s="89" t="s">
        <v>154</v>
      </c>
      <c r="M3" s="89" t="s">
        <v>155</v>
      </c>
      <c r="N3" s="89" t="s">
        <v>156</v>
      </c>
      <c r="O3" s="89" t="s">
        <v>160</v>
      </c>
    </row>
    <row r="4" spans="1:15" x14ac:dyDescent="0.3">
      <c r="N4" s="90"/>
    </row>
  </sheetData>
  <mergeCells count="2">
    <mergeCell ref="A2:O2"/>
    <mergeCell ref="A1:O1"/>
  </mergeCells>
  <pageMargins left="0.7" right="0.7" top="0.75" bottom="0.75" header="0.3" footer="0.3"/>
  <drawing r:id="rId1"/>
  <tableParts count="1">
    <tablePart r:id="rId2"/>
  </tablePar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2" tint="-0.249977111117893"/>
  </sheetPr>
  <dimension ref="A1:B43"/>
  <sheetViews>
    <sheetView workbookViewId="0">
      <selection activeCell="A2" sqref="A2:B2"/>
    </sheetView>
  </sheetViews>
  <sheetFormatPr defaultColWidth="8.88671875" defaultRowHeight="15.6" x14ac:dyDescent="0.3"/>
  <cols>
    <col min="1" max="1" width="34" customWidth="1"/>
    <col min="2" max="2" width="13" customWidth="1"/>
  </cols>
  <sheetData>
    <row r="1" spans="1:2" ht="21" x14ac:dyDescent="0.4">
      <c r="A1" s="137" t="s">
        <v>181</v>
      </c>
      <c r="B1" s="138"/>
    </row>
    <row r="2" spans="1:2" ht="18" thickBot="1" x14ac:dyDescent="0.4">
      <c r="A2" s="139" t="s">
        <v>10</v>
      </c>
      <c r="B2" s="139"/>
    </row>
    <row r="3" spans="1:2" ht="16.2" thickTop="1" x14ac:dyDescent="0.3">
      <c r="A3" t="s">
        <v>9</v>
      </c>
      <c r="B3" s="10">
        <f>SUMIF(Transactions!$H:$H,A3,Transactions!$D:$D)</f>
        <v>0</v>
      </c>
    </row>
    <row r="4" spans="1:2" x14ac:dyDescent="0.3">
      <c r="A4" t="s">
        <v>12</v>
      </c>
      <c r="B4" s="10">
        <f>SUMIF(Transactions!$H:$H,A4,Transactions!$D:$D)</f>
        <v>0</v>
      </c>
    </row>
    <row r="5" spans="1:2" ht="16.2" thickBot="1" x14ac:dyDescent="0.35">
      <c r="B5" s="11">
        <f>B3-B4</f>
        <v>0</v>
      </c>
    </row>
    <row r="6" spans="1:2" ht="16.2" thickTop="1" x14ac:dyDescent="0.3">
      <c r="A6" t="s">
        <v>11</v>
      </c>
      <c r="B6" s="10">
        <f>'Cost of Goods Sold'!B12</f>
        <v>0</v>
      </c>
    </row>
    <row r="7" spans="1:2" ht="16.2" thickBot="1" x14ac:dyDescent="0.35">
      <c r="A7" s="3" t="s">
        <v>13</v>
      </c>
      <c r="B7" s="11">
        <f>B5-B6</f>
        <v>0</v>
      </c>
    </row>
    <row r="8" spans="1:2" ht="16.2" thickTop="1" x14ac:dyDescent="0.3">
      <c r="A8" t="s">
        <v>14</v>
      </c>
      <c r="B8" s="10">
        <f>SUMIF(Transactions!$H:$H,A8,Transactions!$D:$D)</f>
        <v>0</v>
      </c>
    </row>
    <row r="9" spans="1:2" ht="16.2" thickBot="1" x14ac:dyDescent="0.35">
      <c r="A9" s="3" t="s">
        <v>15</v>
      </c>
      <c r="B9" s="11">
        <f>B7+B8</f>
        <v>0</v>
      </c>
    </row>
    <row r="10" spans="1:2" ht="16.2" thickTop="1" x14ac:dyDescent="0.3">
      <c r="B10" s="10"/>
    </row>
    <row r="11" spans="1:2" ht="18" thickBot="1" x14ac:dyDescent="0.4">
      <c r="A11" s="139" t="s">
        <v>16</v>
      </c>
      <c r="B11" s="139"/>
    </row>
    <row r="12" spans="1:2" ht="16.2" thickTop="1" x14ac:dyDescent="0.3">
      <c r="A12" t="s">
        <v>4</v>
      </c>
      <c r="B12" s="10">
        <f>-SUMIF(Transactions!$H:$H,A12,Transactions!$E:$E)</f>
        <v>0</v>
      </c>
    </row>
    <row r="13" spans="1:2" x14ac:dyDescent="0.3">
      <c r="A13" t="s">
        <v>17</v>
      </c>
      <c r="B13" s="10">
        <f>-SUMIF(Transactions!$H:$H,A13,Transactions!$E:$E)</f>
        <v>0</v>
      </c>
    </row>
    <row r="14" spans="1:2" x14ac:dyDescent="0.3">
      <c r="A14" t="s">
        <v>18</v>
      </c>
      <c r="B14" s="10">
        <f>-SUMIF(Transactions!$H:$H,A14,Transactions!$E:$E)</f>
        <v>0</v>
      </c>
    </row>
    <row r="15" spans="1:2" x14ac:dyDescent="0.3">
      <c r="A15" t="s">
        <v>2</v>
      </c>
      <c r="B15" s="10">
        <f>-SUMIF(Transactions!$H:$H,A15,Transactions!$E:$E)</f>
        <v>0</v>
      </c>
    </row>
    <row r="16" spans="1:2" x14ac:dyDescent="0.3">
      <c r="A16" t="s">
        <v>19</v>
      </c>
      <c r="B16" s="10">
        <f>-SUMIF(Transactions!$H:$H,A16,Transactions!$E:$E)</f>
        <v>0</v>
      </c>
    </row>
    <row r="17" spans="1:2" x14ac:dyDescent="0.3">
      <c r="A17" t="s">
        <v>20</v>
      </c>
      <c r="B17" s="10">
        <f>-SUMIF(Transactions!$H:$H,A17,Transactions!$E:$E)</f>
        <v>0</v>
      </c>
    </row>
    <row r="18" spans="1:2" x14ac:dyDescent="0.3">
      <c r="A18" t="s">
        <v>21</v>
      </c>
      <c r="B18" s="10">
        <f>-SUMIF(Transactions!$H:$H,A18,Transactions!$E:$E)</f>
        <v>0</v>
      </c>
    </row>
    <row r="19" spans="1:2" x14ac:dyDescent="0.3">
      <c r="A19" t="s">
        <v>22</v>
      </c>
      <c r="B19" s="10">
        <f>-SUMIF(Transactions!$H:$H,A19,Transactions!$E:$E)</f>
        <v>0</v>
      </c>
    </row>
    <row r="20" spans="1:2" x14ac:dyDescent="0.3">
      <c r="A20" t="s">
        <v>23</v>
      </c>
      <c r="B20" s="76"/>
    </row>
    <row r="21" spans="1:2" x14ac:dyDescent="0.3">
      <c r="A21" s="7" t="s">
        <v>24</v>
      </c>
      <c r="B21" s="10">
        <f>-SUMIF(Transactions!$H:$H,A21,Transactions!$E:$E)</f>
        <v>0</v>
      </c>
    </row>
    <row r="22" spans="1:2" x14ac:dyDescent="0.3">
      <c r="A22" s="7" t="s">
        <v>41</v>
      </c>
      <c r="B22" s="10">
        <f>-SUMIF(Transactions!$H:$H,A22,Transactions!$E:$E)</f>
        <v>0</v>
      </c>
    </row>
    <row r="23" spans="1:2" x14ac:dyDescent="0.3">
      <c r="A23" t="s">
        <v>25</v>
      </c>
      <c r="B23" s="10">
        <f>-SUMIF(Transactions!$H:$H,A23,Transactions!$E:$E)</f>
        <v>0</v>
      </c>
    </row>
    <row r="24" spans="1:2" x14ac:dyDescent="0.3">
      <c r="A24" t="s">
        <v>26</v>
      </c>
      <c r="B24" s="10">
        <f>-SUMIF(Transactions!$H:$H,A24,Transactions!$E:$E)</f>
        <v>0</v>
      </c>
    </row>
    <row r="25" spans="1:2" x14ac:dyDescent="0.3">
      <c r="A25" t="s">
        <v>27</v>
      </c>
      <c r="B25" s="10">
        <f>-SUMIF(Transactions!$H:$H,A25,Transactions!$E:$E)</f>
        <v>0</v>
      </c>
    </row>
    <row r="26" spans="1:2" x14ac:dyDescent="0.3">
      <c r="A26" t="s">
        <v>28</v>
      </c>
      <c r="B26" s="76"/>
    </row>
    <row r="27" spans="1:2" x14ac:dyDescent="0.3">
      <c r="A27" s="7" t="s">
        <v>29</v>
      </c>
      <c r="B27" s="10">
        <f>-SUMIF(Transactions!$H:$H,A27,Transactions!$E:$E)</f>
        <v>0</v>
      </c>
    </row>
    <row r="28" spans="1:2" x14ac:dyDescent="0.3">
      <c r="A28" s="7" t="s">
        <v>30</v>
      </c>
      <c r="B28" s="10">
        <f>-SUMIF(Transactions!$H:$H,A28,Transactions!$E:$E)</f>
        <v>0</v>
      </c>
    </row>
    <row r="29" spans="1:2" x14ac:dyDescent="0.3">
      <c r="A29" t="s">
        <v>31</v>
      </c>
      <c r="B29" s="10">
        <f>-SUMIF(Transactions!$H:$H,A29,Transactions!$E:$E)</f>
        <v>0</v>
      </c>
    </row>
    <row r="30" spans="1:2" x14ac:dyDescent="0.3">
      <c r="A30" t="s">
        <v>3</v>
      </c>
      <c r="B30" s="10">
        <f>-SUMIF(Transactions!$H:$H,A30,Transactions!$E:$E)</f>
        <v>0</v>
      </c>
    </row>
    <row r="31" spans="1:2" x14ac:dyDescent="0.3">
      <c r="A31" t="s">
        <v>7</v>
      </c>
      <c r="B31" s="10">
        <f>-SUMIF(Transactions!$H:$H,A31,Transactions!$E:$E)</f>
        <v>0</v>
      </c>
    </row>
    <row r="32" spans="1:2" x14ac:dyDescent="0.3">
      <c r="A32" t="s">
        <v>130</v>
      </c>
      <c r="B32" s="76"/>
    </row>
    <row r="33" spans="1:2" x14ac:dyDescent="0.3">
      <c r="A33" s="7" t="s">
        <v>32</v>
      </c>
      <c r="B33" s="10">
        <f>-SUMIF(Transactions!$H:$H,A33,Transactions!$E:$E)</f>
        <v>0</v>
      </c>
    </row>
    <row r="34" spans="1:2" x14ac:dyDescent="0.3">
      <c r="A34" s="7" t="s">
        <v>127</v>
      </c>
      <c r="B34" s="10">
        <f>-SUMIF(Transactions!$H:$H,"*meal*",Transactions!$E:$E)*0.5</f>
        <v>0</v>
      </c>
    </row>
    <row r="35" spans="1:2" x14ac:dyDescent="0.3">
      <c r="A35" t="s">
        <v>34</v>
      </c>
      <c r="B35" s="10">
        <f>-SUMIF(Transactions!$H:$H,A35,Transactions!$E:$E)</f>
        <v>0</v>
      </c>
    </row>
    <row r="36" spans="1:2" x14ac:dyDescent="0.3">
      <c r="A36" t="s">
        <v>129</v>
      </c>
      <c r="B36" s="10">
        <f>-SUMIF(Transactions!$H:$H,A36,Transactions!$E:$E)</f>
        <v>0</v>
      </c>
    </row>
    <row r="37" spans="1:2" x14ac:dyDescent="0.3">
      <c r="A37" t="s">
        <v>8</v>
      </c>
      <c r="B37" s="10">
        <f>-SUMIF(Transactions!$H:$H,A37,Transactions!$E:$E)</f>
        <v>0</v>
      </c>
    </row>
    <row r="38" spans="1:2" x14ac:dyDescent="0.3">
      <c r="A38" t="s">
        <v>35</v>
      </c>
      <c r="B38" s="76"/>
    </row>
    <row r="39" spans="1:2" ht="16.2" thickBot="1" x14ac:dyDescent="0.35">
      <c r="A39" s="3" t="s">
        <v>36</v>
      </c>
      <c r="B39" s="11">
        <f>SUM(B12:B38)</f>
        <v>0</v>
      </c>
    </row>
    <row r="40" spans="1:2" ht="16.2" thickTop="1" x14ac:dyDescent="0.3">
      <c r="A40" t="s">
        <v>37</v>
      </c>
      <c r="B40" s="10">
        <f>B9-B39</f>
        <v>0</v>
      </c>
    </row>
    <row r="41" spans="1:2" x14ac:dyDescent="0.3">
      <c r="A41" t="s">
        <v>38</v>
      </c>
      <c r="B41" s="10"/>
    </row>
    <row r="42" spans="1:2" ht="16.2" thickBot="1" x14ac:dyDescent="0.35">
      <c r="A42" s="3" t="s">
        <v>39</v>
      </c>
      <c r="B42" s="11">
        <f>B40-B41</f>
        <v>0</v>
      </c>
    </row>
    <row r="43" spans="1:2" ht="16.2" thickTop="1" x14ac:dyDescent="0.3"/>
  </sheetData>
  <mergeCells count="3">
    <mergeCell ref="A1:B1"/>
    <mergeCell ref="A2:B2"/>
    <mergeCell ref="A11:B11"/>
  </mergeCells>
  <pageMargins left="0.7" right="0.7" top="0.75" bottom="0.75" header="0.3" footer="0.3"/>
  <ignoredErrors>
    <ignoredError sqref="B34 B6" formula="1"/>
  </ignoredErrors>
  <legacy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8"/>
  </sheetPr>
  <dimension ref="A1:B13"/>
  <sheetViews>
    <sheetView workbookViewId="0">
      <selection activeCell="B14" sqref="B14"/>
    </sheetView>
  </sheetViews>
  <sheetFormatPr defaultColWidth="8.88671875" defaultRowHeight="15.6" x14ac:dyDescent="0.3"/>
  <cols>
    <col min="1" max="1" width="93.6640625" customWidth="1"/>
    <col min="2" max="2" width="37.33203125" style="1" customWidth="1"/>
  </cols>
  <sheetData>
    <row r="1" spans="1:2" ht="21" x14ac:dyDescent="0.4">
      <c r="A1" s="137">
        <f>Transactions!A1</f>
        <v>0</v>
      </c>
      <c r="B1" s="138"/>
    </row>
    <row r="2" spans="1:2" ht="18" thickBot="1" x14ac:dyDescent="0.4">
      <c r="A2" s="139" t="s">
        <v>46</v>
      </c>
      <c r="B2" s="139"/>
    </row>
    <row r="3" spans="1:2" ht="16.2" thickTop="1" x14ac:dyDescent="0.3">
      <c r="A3" s="34" t="s">
        <v>53</v>
      </c>
      <c r="B3" s="35"/>
    </row>
    <row r="4" spans="1:2" x14ac:dyDescent="0.3">
      <c r="A4" s="34" t="s">
        <v>57</v>
      </c>
      <c r="B4" s="35"/>
    </row>
    <row r="5" spans="1:2" x14ac:dyDescent="0.3">
      <c r="A5" s="34" t="s">
        <v>47</v>
      </c>
      <c r="B5" s="36">
        <v>0</v>
      </c>
    </row>
    <row r="6" spans="1:2" x14ac:dyDescent="0.3">
      <c r="A6" s="34" t="s">
        <v>48</v>
      </c>
      <c r="B6" s="36">
        <v>0</v>
      </c>
    </row>
    <row r="7" spans="1:2" x14ac:dyDescent="0.3">
      <c r="A7" s="34" t="s">
        <v>131</v>
      </c>
      <c r="B7" s="36">
        <v>0</v>
      </c>
    </row>
    <row r="8" spans="1:2" x14ac:dyDescent="0.3">
      <c r="A8" s="34" t="s">
        <v>49</v>
      </c>
      <c r="B8" s="36">
        <v>0</v>
      </c>
    </row>
    <row r="9" spans="1:2" x14ac:dyDescent="0.3">
      <c r="A9" s="34" t="s">
        <v>50</v>
      </c>
      <c r="B9" s="36">
        <v>0</v>
      </c>
    </row>
    <row r="10" spans="1:2" ht="16.2" thickBot="1" x14ac:dyDescent="0.35">
      <c r="A10" s="34" t="s">
        <v>51</v>
      </c>
      <c r="B10" s="37">
        <f>SUM(B5:B9)</f>
        <v>0</v>
      </c>
    </row>
    <row r="11" spans="1:2" ht="16.2" thickTop="1" x14ac:dyDescent="0.3">
      <c r="A11" s="34" t="s">
        <v>52</v>
      </c>
      <c r="B11" s="36">
        <v>0</v>
      </c>
    </row>
    <row r="12" spans="1:2" ht="16.2" thickBot="1" x14ac:dyDescent="0.35">
      <c r="A12" s="15" t="s">
        <v>11</v>
      </c>
      <c r="B12" s="33">
        <f>B10-B11</f>
        <v>0</v>
      </c>
    </row>
    <row r="13" spans="1:2" ht="16.2" thickTop="1" x14ac:dyDescent="0.3"/>
  </sheetData>
  <mergeCells count="2">
    <mergeCell ref="A1:B1"/>
    <mergeCell ref="A2:B2"/>
  </mergeCells>
  <dataValidations count="2">
    <dataValidation type="list" allowBlank="1" showInputMessage="1" sqref="B3">
      <formula1>InventoryMethod</formula1>
    </dataValidation>
    <dataValidation type="list" allowBlank="1" showInputMessage="1" sqref="B4">
      <formula1>YesNo?</formula1>
    </dataValidation>
  </dataValidations>
  <pageMargins left="0.7" right="0.7" top="0.75" bottom="0.75" header="0.3" footer="0.3"/>
  <legacy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</sheetPr>
  <dimension ref="A1:B6"/>
  <sheetViews>
    <sheetView zoomScaleNormal="100" workbookViewId="0">
      <selection activeCell="B6" sqref="B6"/>
    </sheetView>
  </sheetViews>
  <sheetFormatPr defaultColWidth="8.88671875" defaultRowHeight="15.6" x14ac:dyDescent="0.3"/>
  <cols>
    <col min="1" max="1" width="41.88671875" customWidth="1"/>
    <col min="2" max="2" width="12.6640625" customWidth="1"/>
  </cols>
  <sheetData>
    <row r="1" spans="1:2" ht="21" x14ac:dyDescent="0.4">
      <c r="A1" s="137">
        <f>Transactions!A1:H1</f>
        <v>0</v>
      </c>
      <c r="B1" s="138"/>
    </row>
    <row r="2" spans="1:2" ht="18" thickBot="1" x14ac:dyDescent="0.4">
      <c r="A2" s="140" t="s">
        <v>80</v>
      </c>
      <c r="B2" s="140"/>
    </row>
    <row r="3" spans="1:2" ht="16.2" thickTop="1" x14ac:dyDescent="0.3">
      <c r="A3" s="34" t="s">
        <v>82</v>
      </c>
      <c r="B3" s="1">
        <f>'Schedule C (P&amp;L)'!B42</f>
        <v>0</v>
      </c>
    </row>
    <row r="4" spans="1:2" x14ac:dyDescent="0.3">
      <c r="A4" s="34" t="s">
        <v>83</v>
      </c>
      <c r="B4" s="1">
        <f>B3*0.9235</f>
        <v>0</v>
      </c>
    </row>
    <row r="5" spans="1:2" ht="16.2" thickBot="1" x14ac:dyDescent="0.35">
      <c r="A5" s="38" t="s">
        <v>143</v>
      </c>
      <c r="B5" s="32">
        <f>IF(B4&lt;400,0,IF(B4&lt;=128000,B4*0.153,(B4*0.029)+15921.6))</f>
        <v>0</v>
      </c>
    </row>
    <row r="6" spans="1:2" ht="16.2" thickTop="1" x14ac:dyDescent="0.3">
      <c r="A6" s="85" t="s">
        <v>81</v>
      </c>
      <c r="B6" s="86">
        <f>B5*0.5</f>
        <v>0</v>
      </c>
    </row>
  </sheetData>
  <mergeCells count="2">
    <mergeCell ref="A1:B1"/>
    <mergeCell ref="A2:B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/>
  </sheetPr>
  <dimension ref="A1:C6"/>
  <sheetViews>
    <sheetView workbookViewId="0">
      <selection activeCell="B4" sqref="B4"/>
    </sheetView>
  </sheetViews>
  <sheetFormatPr defaultColWidth="8.88671875" defaultRowHeight="15.6" x14ac:dyDescent="0.3"/>
  <cols>
    <col min="1" max="1" width="23.6640625" customWidth="1"/>
    <col min="2" max="2" width="11.109375" style="1" customWidth="1"/>
    <col min="3" max="3" width="16" customWidth="1"/>
  </cols>
  <sheetData>
    <row r="1" spans="1:3" ht="21" x14ac:dyDescent="0.4">
      <c r="A1" s="137">
        <f>Transactions!A1</f>
        <v>0</v>
      </c>
      <c r="B1" s="138"/>
    </row>
    <row r="2" spans="1:3" ht="18" thickBot="1" x14ac:dyDescent="0.4">
      <c r="A2" s="139" t="s">
        <v>89</v>
      </c>
      <c r="B2" s="139"/>
    </row>
    <row r="3" spans="1:3" ht="16.2" thickTop="1" x14ac:dyDescent="0.3">
      <c r="A3" t="s">
        <v>92</v>
      </c>
      <c r="B3" s="44" t="e">
        <f>#REF!</f>
        <v>#REF!</v>
      </c>
    </row>
    <row r="4" spans="1:3" x14ac:dyDescent="0.3">
      <c r="A4" s="38" t="s">
        <v>91</v>
      </c>
      <c r="B4" s="42">
        <v>0.57999999999999996</v>
      </c>
      <c r="C4" s="43" t="s">
        <v>94</v>
      </c>
    </row>
    <row r="5" spans="1:3" ht="16.2" thickBot="1" x14ac:dyDescent="0.35">
      <c r="A5" s="38" t="s">
        <v>90</v>
      </c>
      <c r="B5" s="32" t="e">
        <f>ROUND(B3*B4,0)</f>
        <v>#REF!</v>
      </c>
    </row>
    <row r="6" spans="1:3" ht="16.2" thickTop="1" x14ac:dyDescent="0.3"/>
  </sheetData>
  <mergeCells count="2">
    <mergeCell ref="A1:B1"/>
    <mergeCell ref="A2:B2"/>
  </mergeCells>
  <hyperlinks>
    <hyperlink ref="C4" r:id="rId1"/>
  </hyperlink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9"/>
    <pageSetUpPr fitToPage="1"/>
  </sheetPr>
  <dimension ref="A1:P44"/>
  <sheetViews>
    <sheetView topLeftCell="A26" zoomScale="150" zoomScaleNormal="150" zoomScalePageLayoutView="91" workbookViewId="0">
      <selection activeCell="A34" sqref="A34:XFD34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5" width="13.109375" customWidth="1"/>
    <col min="16" max="16" width="12.109375" customWidth="1"/>
  </cols>
  <sheetData>
    <row r="1" spans="1:16" ht="23.4" hidden="1" x14ac:dyDescent="0.45">
      <c r="A1" s="141">
        <f>Transactions!A1</f>
        <v>0</v>
      </c>
      <c r="B1" s="142"/>
      <c r="C1" s="142"/>
      <c r="D1" s="142"/>
      <c r="E1" s="142"/>
      <c r="F1" s="142"/>
      <c r="G1" s="142"/>
      <c r="H1" s="142"/>
      <c r="I1" s="142"/>
      <c r="J1" s="142"/>
      <c r="K1" s="142"/>
      <c r="L1" s="142"/>
      <c r="M1" s="142"/>
      <c r="N1" s="142"/>
      <c r="O1" s="142"/>
    </row>
    <row r="2" spans="1:16" ht="23.4" x14ac:dyDescent="0.45">
      <c r="A2" s="142" t="s">
        <v>184</v>
      </c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</row>
    <row r="3" spans="1:16" x14ac:dyDescent="0.3">
      <c r="A3" s="17"/>
      <c r="B3" s="17"/>
      <c r="C3" s="18" t="s">
        <v>95</v>
      </c>
      <c r="D3" s="18" t="s">
        <v>61</v>
      </c>
      <c r="E3" s="18" t="s">
        <v>62</v>
      </c>
      <c r="F3" s="18" t="s">
        <v>63</v>
      </c>
      <c r="G3" s="18" t="s">
        <v>64</v>
      </c>
      <c r="H3" s="18" t="s">
        <v>65</v>
      </c>
      <c r="I3" s="18" t="s">
        <v>66</v>
      </c>
      <c r="J3" s="18" t="s">
        <v>67</v>
      </c>
      <c r="K3" s="18" t="s">
        <v>68</v>
      </c>
      <c r="L3" s="18" t="s">
        <v>69</v>
      </c>
      <c r="M3" s="18" t="s">
        <v>70</v>
      </c>
      <c r="N3" s="18" t="s">
        <v>71</v>
      </c>
      <c r="O3" s="18" t="s">
        <v>72</v>
      </c>
    </row>
    <row r="4" spans="1:16" x14ac:dyDescent="0.3">
      <c r="A4" s="17"/>
      <c r="B4" s="25" t="s">
        <v>78</v>
      </c>
      <c r="C4" s="26">
        <v>250000</v>
      </c>
      <c r="D4" s="26">
        <f>C41</f>
        <v>14257</v>
      </c>
      <c r="E4" s="26">
        <f>D41</f>
        <v>-74055.550930505662</v>
      </c>
      <c r="F4" s="26">
        <f t="shared" ref="F4:O4" si="0">E41</f>
        <v>-64608.242495586077</v>
      </c>
      <c r="G4" s="26">
        <f t="shared" si="0"/>
        <v>-54886.341217548601</v>
      </c>
      <c r="H4" s="26">
        <f t="shared" si="0"/>
        <v>-141091.55212769259</v>
      </c>
      <c r="I4" s="26">
        <f t="shared" si="0"/>
        <v>-229136.91968982428</v>
      </c>
      <c r="J4" s="26">
        <f t="shared" si="0"/>
        <v>-222986.73851674009</v>
      </c>
      <c r="K4" s="26">
        <f t="shared" si="0"/>
        <v>-119076.69797823076</v>
      </c>
      <c r="L4" s="26">
        <f t="shared" si="0"/>
        <v>-14892.064596603435</v>
      </c>
      <c r="M4" s="26">
        <f t="shared" si="0"/>
        <v>-6634.5434031576897</v>
      </c>
      <c r="N4" s="26">
        <f t="shared" si="0"/>
        <v>-717.17886169953636</v>
      </c>
      <c r="O4" s="26">
        <f t="shared" si="0"/>
        <v>-88104.265585025612</v>
      </c>
    </row>
    <row r="5" spans="1:16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</row>
    <row r="6" spans="1:16" x14ac:dyDescent="0.3">
      <c r="A6" s="17"/>
      <c r="B6" s="30" t="s">
        <v>74</v>
      </c>
      <c r="C6" s="80"/>
      <c r="D6" s="24">
        <f t="array" ref="D6:O6">TRANSPOSE(Forecasting!C14:C25)</f>
        <v>548003.82264725864</v>
      </c>
      <c r="E6" s="24">
        <v>551961.56934770627</v>
      </c>
      <c r="F6" s="24">
        <v>552250.61444572511</v>
      </c>
      <c r="G6" s="24">
        <v>550222.07530027092</v>
      </c>
      <c r="H6" s="24">
        <v>548285.06829817861</v>
      </c>
      <c r="I6" s="24">
        <v>548490.90907209006</v>
      </c>
      <c r="J6" s="24">
        <v>552448.65577253758</v>
      </c>
      <c r="K6" s="24">
        <v>552737.70087055652</v>
      </c>
      <c r="L6" s="24">
        <v>550709.16172510223</v>
      </c>
      <c r="M6" s="24">
        <v>548772.15472301003</v>
      </c>
      <c r="N6" s="24">
        <v>548977.99549692136</v>
      </c>
      <c r="O6" s="24">
        <v>552935.74219736899</v>
      </c>
      <c r="P6" s="81"/>
    </row>
    <row r="7" spans="1:16" x14ac:dyDescent="0.3">
      <c r="A7" s="17"/>
      <c r="B7" s="30" t="s">
        <v>73</v>
      </c>
      <c r="C7" s="24">
        <f>StartingInventory[[#Totals],[Total]]</f>
        <v>470000</v>
      </c>
      <c r="D7" s="24">
        <f>StartingInventory[[#Totals],[Total]]*120%</f>
        <v>564000</v>
      </c>
      <c r="E7" s="24">
        <f>StartingInventory[[#Totals],[Total]]</f>
        <v>470000</v>
      </c>
      <c r="F7" s="24">
        <f>StartingInventory[[#Totals],[Total]]</f>
        <v>470000</v>
      </c>
      <c r="G7" s="24">
        <f>StartingInventory[[#Totals],[Total]]*120%</f>
        <v>564000</v>
      </c>
      <c r="H7" s="24">
        <f>StartingInventory[[#Totals],[Total]]*120%</f>
        <v>564000</v>
      </c>
      <c r="I7" s="24">
        <f>StartingInventory[[#Totals],[Total]]</f>
        <v>470000</v>
      </c>
      <c r="J7" s="24">
        <f>StartingInventory[[#Totals],[Total]]*80%</f>
        <v>376000</v>
      </c>
      <c r="K7" s="24">
        <f>StartingInventory[[#Totals],[Total]]*80%</f>
        <v>376000</v>
      </c>
      <c r="L7" s="24">
        <f>StartingInventory[[#Totals],[Total]]</f>
        <v>470000</v>
      </c>
      <c r="M7" s="24">
        <f>StartingInventory[[#Totals],[Total]]</f>
        <v>470000</v>
      </c>
      <c r="N7" s="24">
        <f>StartingInventory[[#Totals],[Total]]*120%</f>
        <v>564000</v>
      </c>
      <c r="O7" s="24">
        <f>StartingInventory[[#Totals],[Total]]*120%</f>
        <v>564000</v>
      </c>
    </row>
    <row r="8" spans="1:16" x14ac:dyDescent="0.3">
      <c r="A8" s="17"/>
      <c r="B8" s="23" t="s">
        <v>75</v>
      </c>
      <c r="C8" s="31">
        <f>C6-C7</f>
        <v>-470000</v>
      </c>
      <c r="D8" s="31">
        <f>D6-D7</f>
        <v>-15996.177352741361</v>
      </c>
      <c r="E8" s="31">
        <f t="shared" ref="E8:O8" si="1">E6-E7</f>
        <v>81961.569347706274</v>
      </c>
      <c r="F8" s="31">
        <f t="shared" si="1"/>
        <v>82250.614445725107</v>
      </c>
      <c r="G8" s="31">
        <f t="shared" si="1"/>
        <v>-13777.924699729076</v>
      </c>
      <c r="H8" s="31">
        <f t="shared" si="1"/>
        <v>-15714.931701821391</v>
      </c>
      <c r="I8" s="31">
        <f t="shared" si="1"/>
        <v>78490.909072090057</v>
      </c>
      <c r="J8" s="31">
        <f t="shared" si="1"/>
        <v>176448.65577253758</v>
      </c>
      <c r="K8" s="31">
        <f t="shared" si="1"/>
        <v>176737.70087055652</v>
      </c>
      <c r="L8" s="31">
        <f t="shared" si="1"/>
        <v>80709.161725102225</v>
      </c>
      <c r="M8" s="31">
        <f t="shared" si="1"/>
        <v>78772.154723010026</v>
      </c>
      <c r="N8" s="31">
        <f t="shared" si="1"/>
        <v>-15022.004503078642</v>
      </c>
      <c r="O8" s="31">
        <f t="shared" si="1"/>
        <v>-11064.257802631008</v>
      </c>
    </row>
    <row r="9" spans="1:16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  <c r="O9" s="22"/>
    </row>
    <row r="10" spans="1:16" x14ac:dyDescent="0.3">
      <c r="A10" s="17"/>
      <c r="B10" s="20" t="s">
        <v>4</v>
      </c>
      <c r="C10" s="19">
        <f>1000+500+25</f>
        <v>1525</v>
      </c>
      <c r="D10" s="19">
        <f>500+25</f>
        <v>525</v>
      </c>
      <c r="E10" s="19">
        <f t="shared" ref="E10:O10" si="2">500+25</f>
        <v>525</v>
      </c>
      <c r="F10" s="19">
        <f t="shared" si="2"/>
        <v>525</v>
      </c>
      <c r="G10" s="19">
        <f t="shared" si="2"/>
        <v>525</v>
      </c>
      <c r="H10" s="19">
        <f t="shared" si="2"/>
        <v>525</v>
      </c>
      <c r="I10" s="19">
        <f t="shared" si="2"/>
        <v>525</v>
      </c>
      <c r="J10" s="19">
        <f t="shared" si="2"/>
        <v>525</v>
      </c>
      <c r="K10" s="19">
        <f t="shared" si="2"/>
        <v>525</v>
      </c>
      <c r="L10" s="19">
        <f t="shared" si="2"/>
        <v>525</v>
      </c>
      <c r="M10" s="19">
        <f t="shared" si="2"/>
        <v>525</v>
      </c>
      <c r="N10" s="19">
        <f t="shared" si="2"/>
        <v>525</v>
      </c>
      <c r="O10" s="19">
        <f t="shared" si="2"/>
        <v>525</v>
      </c>
    </row>
    <row r="11" spans="1:16" x14ac:dyDescent="0.3">
      <c r="A11" s="17"/>
      <c r="B11" s="20" t="s">
        <v>17</v>
      </c>
      <c r="C11" s="19">
        <v>0</v>
      </c>
      <c r="D11" s="19">
        <v>150</v>
      </c>
      <c r="E11" s="19">
        <v>150</v>
      </c>
      <c r="F11" s="19">
        <v>150</v>
      </c>
      <c r="G11" s="19">
        <v>150</v>
      </c>
      <c r="H11" s="19">
        <v>150</v>
      </c>
      <c r="I11" s="19">
        <v>150</v>
      </c>
      <c r="J11" s="19">
        <v>150</v>
      </c>
      <c r="K11" s="19">
        <v>150</v>
      </c>
      <c r="L11" s="19">
        <v>150</v>
      </c>
      <c r="M11" s="19">
        <v>150</v>
      </c>
      <c r="N11" s="19">
        <v>150</v>
      </c>
      <c r="O11" s="19">
        <v>150</v>
      </c>
    </row>
    <row r="12" spans="1:16" x14ac:dyDescent="0.3">
      <c r="A12" s="17"/>
      <c r="B12" s="20" t="s">
        <v>18</v>
      </c>
      <c r="C12" s="19">
        <v>0</v>
      </c>
      <c r="D12" s="19">
        <f>5%*D6</f>
        <v>27400.191132362932</v>
      </c>
      <c r="E12" s="19">
        <f t="shared" ref="E12:O12" si="3">5%*E6</f>
        <v>27598.078467385316</v>
      </c>
      <c r="F12" s="19">
        <f t="shared" si="3"/>
        <v>27612.530722286258</v>
      </c>
      <c r="G12" s="19">
        <f t="shared" si="3"/>
        <v>27511.103765013548</v>
      </c>
      <c r="H12" s="19">
        <f t="shared" si="3"/>
        <v>27414.253414908933</v>
      </c>
      <c r="I12" s="19">
        <f t="shared" si="3"/>
        <v>27424.545453604504</v>
      </c>
      <c r="J12" s="19">
        <f t="shared" si="3"/>
        <v>27622.43278862688</v>
      </c>
      <c r="K12" s="19">
        <f t="shared" si="3"/>
        <v>27636.885043527829</v>
      </c>
      <c r="L12" s="19">
        <f t="shared" si="3"/>
        <v>27535.458086255112</v>
      </c>
      <c r="M12" s="19">
        <f t="shared" si="3"/>
        <v>27438.607736150501</v>
      </c>
      <c r="N12" s="19">
        <f t="shared" si="3"/>
        <v>27448.899774846068</v>
      </c>
      <c r="O12" s="19">
        <f t="shared" si="3"/>
        <v>27646.787109868452</v>
      </c>
    </row>
    <row r="13" spans="1:16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  <c r="O13" s="19">
        <v>0</v>
      </c>
    </row>
    <row r="14" spans="1:16" x14ac:dyDescent="0.3">
      <c r="A14" s="17"/>
      <c r="B14" s="20" t="s">
        <v>21</v>
      </c>
      <c r="C14" s="19">
        <v>0</v>
      </c>
      <c r="D14" s="19">
        <v>0</v>
      </c>
      <c r="E14" s="19">
        <v>0</v>
      </c>
      <c r="F14" s="19">
        <v>0</v>
      </c>
      <c r="G14" s="19">
        <v>0</v>
      </c>
      <c r="H14" s="19">
        <v>0</v>
      </c>
      <c r="I14" s="19">
        <v>0</v>
      </c>
      <c r="J14" s="19">
        <v>0</v>
      </c>
      <c r="K14" s="19">
        <v>0</v>
      </c>
      <c r="L14" s="19">
        <v>0</v>
      </c>
      <c r="M14" s="19">
        <v>0</v>
      </c>
      <c r="N14" s="19">
        <v>0</v>
      </c>
      <c r="O14" s="19">
        <v>0</v>
      </c>
    </row>
    <row r="15" spans="1:16" x14ac:dyDescent="0.3">
      <c r="A15" s="17"/>
      <c r="B15" s="20" t="s">
        <v>22</v>
      </c>
      <c r="C15" s="19">
        <f>Table3[[#Totals],[Premium]]</f>
        <v>2103</v>
      </c>
      <c r="D15" s="19">
        <f>Table3[[#Totals],[Premium]]</f>
        <v>2103</v>
      </c>
      <c r="E15" s="19">
        <f>Table3[[#Totals],[Premium]]</f>
        <v>2103</v>
      </c>
      <c r="F15" s="19">
        <f>Table3[[#Totals],[Premium]]</f>
        <v>2103</v>
      </c>
      <c r="G15" s="19">
        <f>Table3[[#Totals],[Premium]]</f>
        <v>2103</v>
      </c>
      <c r="H15" s="19">
        <f>Table3[[#Totals],[Premium]]</f>
        <v>2103</v>
      </c>
      <c r="I15" s="19">
        <f>Table3[[#Totals],[Premium]]</f>
        <v>2103</v>
      </c>
      <c r="J15" s="19">
        <f>Table3[[#Totals],[Premium]]</f>
        <v>2103</v>
      </c>
      <c r="K15" s="19">
        <f>Table3[[#Totals],[Premium]]</f>
        <v>2103</v>
      </c>
      <c r="L15" s="19">
        <f>Table3[[#Totals],[Premium]]</f>
        <v>2103</v>
      </c>
      <c r="M15" s="19">
        <f>Table3[[#Totals],[Premium]]</f>
        <v>2103</v>
      </c>
      <c r="N15" s="19">
        <f>Table3[[#Totals],[Premium]]</f>
        <v>2103</v>
      </c>
      <c r="O15" s="19">
        <f>Table3[[#Totals],[Premium]]</f>
        <v>2103</v>
      </c>
    </row>
    <row r="16" spans="1:16" x14ac:dyDescent="0.3">
      <c r="A16" s="17"/>
      <c r="B16" s="20" t="s">
        <v>25</v>
      </c>
      <c r="C16" s="19">
        <f>1000+1000</f>
        <v>2000</v>
      </c>
      <c r="D16" s="19">
        <f>200+150+50</f>
        <v>400</v>
      </c>
      <c r="E16" s="19">
        <f t="shared" ref="E16:O16" si="4">200+150+50</f>
        <v>400</v>
      </c>
      <c r="F16" s="19">
        <f t="shared" si="4"/>
        <v>400</v>
      </c>
      <c r="G16" s="19">
        <f t="shared" si="4"/>
        <v>400</v>
      </c>
      <c r="H16" s="19">
        <f t="shared" si="4"/>
        <v>400</v>
      </c>
      <c r="I16" s="19">
        <f t="shared" si="4"/>
        <v>400</v>
      </c>
      <c r="J16" s="19">
        <f t="shared" si="4"/>
        <v>400</v>
      </c>
      <c r="K16" s="19">
        <f t="shared" si="4"/>
        <v>400</v>
      </c>
      <c r="L16" s="19">
        <f t="shared" si="4"/>
        <v>400</v>
      </c>
      <c r="M16" s="19">
        <f t="shared" si="4"/>
        <v>400</v>
      </c>
      <c r="N16" s="19">
        <f t="shared" si="4"/>
        <v>400</v>
      </c>
      <c r="O16" s="19">
        <f t="shared" si="4"/>
        <v>400</v>
      </c>
    </row>
    <row r="17" spans="1:16" x14ac:dyDescent="0.3">
      <c r="A17" s="17"/>
      <c r="B17" s="20" t="s">
        <v>26</v>
      </c>
      <c r="C17" s="19">
        <v>500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500</v>
      </c>
      <c r="N17" s="19">
        <v>0</v>
      </c>
      <c r="O17" s="19">
        <v>0</v>
      </c>
    </row>
    <row r="18" spans="1:16" x14ac:dyDescent="0.3">
      <c r="A18" s="17"/>
      <c r="B18" s="21" t="s">
        <v>96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  <c r="O18" s="19">
        <v>0</v>
      </c>
    </row>
    <row r="19" spans="1:16" x14ac:dyDescent="0.3">
      <c r="A19" s="17"/>
      <c r="B19" s="21" t="s">
        <v>97</v>
      </c>
      <c r="C19" s="19">
        <v>1000</v>
      </c>
      <c r="D19" s="19">
        <v>1000</v>
      </c>
      <c r="E19" s="19">
        <v>1000</v>
      </c>
      <c r="F19" s="19">
        <v>1000</v>
      </c>
      <c r="G19" s="19">
        <v>1000</v>
      </c>
      <c r="H19" s="19">
        <v>1000</v>
      </c>
      <c r="I19" s="19">
        <v>1000</v>
      </c>
      <c r="J19" s="19">
        <v>1000</v>
      </c>
      <c r="K19" s="19">
        <v>1000</v>
      </c>
      <c r="L19" s="19">
        <v>1000</v>
      </c>
      <c r="M19" s="19">
        <v>1000</v>
      </c>
      <c r="N19" s="19">
        <v>1000</v>
      </c>
      <c r="O19" s="19">
        <v>1000</v>
      </c>
    </row>
    <row r="20" spans="1:16" x14ac:dyDescent="0.3">
      <c r="A20" s="17"/>
      <c r="B20" s="20" t="s">
        <v>31</v>
      </c>
      <c r="C20" s="19">
        <v>0</v>
      </c>
      <c r="D20" s="19">
        <v>5000</v>
      </c>
      <c r="E20" s="19">
        <v>5000</v>
      </c>
      <c r="F20" s="19">
        <v>5000</v>
      </c>
      <c r="G20" s="19">
        <v>5000</v>
      </c>
      <c r="H20" s="19">
        <v>5000</v>
      </c>
      <c r="I20" s="19">
        <v>5000</v>
      </c>
      <c r="J20" s="19">
        <v>5000</v>
      </c>
      <c r="K20" s="19">
        <v>5000</v>
      </c>
      <c r="L20" s="19">
        <v>5000</v>
      </c>
      <c r="M20" s="19">
        <v>5000</v>
      </c>
      <c r="N20" s="19">
        <v>5000</v>
      </c>
      <c r="O20" s="19">
        <v>5000</v>
      </c>
    </row>
    <row r="21" spans="1:16" x14ac:dyDescent="0.3">
      <c r="A21" s="17"/>
      <c r="B21" s="20" t="s">
        <v>3</v>
      </c>
      <c r="C21" s="19">
        <v>250</v>
      </c>
      <c r="D21" s="19">
        <v>300</v>
      </c>
      <c r="E21" s="19">
        <v>300</v>
      </c>
      <c r="F21" s="19">
        <v>300</v>
      </c>
      <c r="G21" s="19">
        <v>300</v>
      </c>
      <c r="H21" s="19">
        <v>300</v>
      </c>
      <c r="I21" s="19">
        <v>300</v>
      </c>
      <c r="J21" s="19">
        <v>300</v>
      </c>
      <c r="K21" s="19">
        <v>300</v>
      </c>
      <c r="L21" s="19">
        <v>300</v>
      </c>
      <c r="M21" s="19">
        <v>300</v>
      </c>
      <c r="N21" s="19">
        <v>300</v>
      </c>
      <c r="O21" s="19">
        <v>300</v>
      </c>
    </row>
    <row r="22" spans="1:16" x14ac:dyDescent="0.3">
      <c r="A22" s="17"/>
      <c r="B22" s="20" t="s">
        <v>98</v>
      </c>
      <c r="C22" s="19">
        <f>Table4[[#Totals],[Cost]]</f>
        <v>265</v>
      </c>
      <c r="D22" s="19">
        <v>0</v>
      </c>
      <c r="E22" s="19">
        <v>0</v>
      </c>
      <c r="F22" s="19">
        <v>0</v>
      </c>
      <c r="G22" s="19">
        <v>0</v>
      </c>
      <c r="H22" s="19">
        <v>0</v>
      </c>
      <c r="I22" s="19">
        <v>0</v>
      </c>
      <c r="J22" s="19">
        <v>0</v>
      </c>
      <c r="K22" s="19">
        <v>0</v>
      </c>
      <c r="L22" s="19">
        <v>0</v>
      </c>
      <c r="M22" s="19">
        <v>0</v>
      </c>
      <c r="N22" s="19">
        <v>0</v>
      </c>
      <c r="O22" s="19">
        <v>0</v>
      </c>
    </row>
    <row r="23" spans="1:16" x14ac:dyDescent="0.3">
      <c r="A23" s="17"/>
      <c r="B23" s="21" t="s">
        <v>127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  <c r="O23" s="19">
        <v>0</v>
      </c>
    </row>
    <row r="24" spans="1:16" x14ac:dyDescent="0.3">
      <c r="A24" s="17"/>
      <c r="B24" s="20" t="s">
        <v>34</v>
      </c>
      <c r="C24" s="19">
        <f>250+50+100</f>
        <v>400</v>
      </c>
      <c r="D24" s="19">
        <f>250+50+100</f>
        <v>400</v>
      </c>
      <c r="E24" s="19">
        <f t="shared" ref="E24:O24" si="5">250+50+100</f>
        <v>400</v>
      </c>
      <c r="F24" s="19">
        <f t="shared" si="5"/>
        <v>400</v>
      </c>
      <c r="G24" s="19">
        <f t="shared" si="5"/>
        <v>400</v>
      </c>
      <c r="H24" s="19">
        <f t="shared" si="5"/>
        <v>400</v>
      </c>
      <c r="I24" s="19">
        <f t="shared" si="5"/>
        <v>400</v>
      </c>
      <c r="J24" s="19">
        <f t="shared" si="5"/>
        <v>400</v>
      </c>
      <c r="K24" s="19">
        <f t="shared" si="5"/>
        <v>400</v>
      </c>
      <c r="L24" s="19">
        <f t="shared" si="5"/>
        <v>400</v>
      </c>
      <c r="M24" s="19">
        <f t="shared" si="5"/>
        <v>400</v>
      </c>
      <c r="N24" s="19">
        <f t="shared" si="5"/>
        <v>400</v>
      </c>
      <c r="O24" s="19">
        <f t="shared" si="5"/>
        <v>400</v>
      </c>
    </row>
    <row r="25" spans="1:16" x14ac:dyDescent="0.3">
      <c r="A25" s="17"/>
      <c r="B25" s="20" t="s">
        <v>99</v>
      </c>
      <c r="C25" s="82">
        <v>0</v>
      </c>
      <c r="D25" s="82">
        <f>Table9[[#Totals],[Monthly Cost]]</f>
        <v>22500</v>
      </c>
      <c r="E25" s="82">
        <f>Table9[[#Totals],[Monthly Cost]]</f>
        <v>22500</v>
      </c>
      <c r="F25" s="82">
        <f>Table9[[#Totals],[Monthly Cost]]</f>
        <v>22500</v>
      </c>
      <c r="G25" s="82">
        <f>Table9[[#Totals],[Monthly Cost]]</f>
        <v>22500</v>
      </c>
      <c r="H25" s="82">
        <f>Table9[[#Totals],[Monthly Cost]]</f>
        <v>22500</v>
      </c>
      <c r="I25" s="82">
        <f>Table9[[#Totals],[Monthly Cost]]</f>
        <v>22500</v>
      </c>
      <c r="J25" s="82">
        <f>Table9[[#Totals],[Monthly Cost]]</f>
        <v>22500</v>
      </c>
      <c r="K25" s="82">
        <f>Table9[[#Totals],[Monthly Cost]]</f>
        <v>22500</v>
      </c>
      <c r="L25" s="82">
        <f>Table9[[#Totals],[Monthly Cost]]</f>
        <v>22500</v>
      </c>
      <c r="M25" s="82">
        <f>Table9[[#Totals],[Monthly Cost]]</f>
        <v>22500</v>
      </c>
      <c r="N25" s="82">
        <f>Table9[[#Totals],[Monthly Cost]]</f>
        <v>22500</v>
      </c>
      <c r="O25" s="82">
        <f>Table9[[#Totals],[Monthly Cost]]</f>
        <v>22500</v>
      </c>
      <c r="P25" s="81"/>
    </row>
    <row r="26" spans="1:16" x14ac:dyDescent="0.3">
      <c r="A26" s="17"/>
      <c r="B26" s="20" t="s">
        <v>8</v>
      </c>
      <c r="C26" s="19">
        <v>2300</v>
      </c>
      <c r="D26" s="19">
        <v>2300</v>
      </c>
      <c r="E26" s="19">
        <v>2300</v>
      </c>
      <c r="F26" s="19">
        <v>2300</v>
      </c>
      <c r="G26" s="19">
        <v>2300</v>
      </c>
      <c r="H26" s="19">
        <v>2300</v>
      </c>
      <c r="I26" s="19">
        <v>2300</v>
      </c>
      <c r="J26" s="19">
        <v>2300</v>
      </c>
      <c r="K26" s="19">
        <v>2300</v>
      </c>
      <c r="L26" s="19">
        <v>2300</v>
      </c>
      <c r="M26" s="19">
        <v>2300</v>
      </c>
      <c r="N26" s="19">
        <v>2300</v>
      </c>
      <c r="O26" s="19">
        <v>2300</v>
      </c>
    </row>
    <row r="27" spans="1:16" x14ac:dyDescent="0.3">
      <c r="A27" s="17"/>
      <c r="B27" s="20" t="s">
        <v>105</v>
      </c>
      <c r="C27" s="19">
        <v>0</v>
      </c>
      <c r="D27" s="19">
        <f>D25*0.0765</f>
        <v>1721.25</v>
      </c>
      <c r="E27" s="19">
        <f t="shared" ref="E27:O27" si="6">E25*0.0765</f>
        <v>1721.25</v>
      </c>
      <c r="F27" s="19">
        <f t="shared" si="6"/>
        <v>1721.25</v>
      </c>
      <c r="G27" s="19">
        <f t="shared" si="6"/>
        <v>1721.25</v>
      </c>
      <c r="H27" s="19">
        <f t="shared" si="6"/>
        <v>1721.25</v>
      </c>
      <c r="I27" s="19">
        <f t="shared" si="6"/>
        <v>1721.25</v>
      </c>
      <c r="J27" s="19">
        <f t="shared" si="6"/>
        <v>1721.25</v>
      </c>
      <c r="K27" s="19">
        <f t="shared" si="6"/>
        <v>1721.25</v>
      </c>
      <c r="L27" s="19">
        <f t="shared" si="6"/>
        <v>1721.25</v>
      </c>
      <c r="M27" s="19">
        <f t="shared" si="6"/>
        <v>1721.25</v>
      </c>
      <c r="N27" s="19">
        <f t="shared" si="6"/>
        <v>1721.25</v>
      </c>
      <c r="O27" s="19">
        <f t="shared" si="6"/>
        <v>1721.25</v>
      </c>
    </row>
    <row r="28" spans="1:16" x14ac:dyDescent="0.3">
      <c r="A28" s="17"/>
      <c r="B28" s="20" t="s">
        <v>103</v>
      </c>
      <c r="C28" s="19">
        <v>0</v>
      </c>
      <c r="D28" s="19">
        <f>D25*0.006</f>
        <v>135</v>
      </c>
      <c r="E28" s="19">
        <f t="shared" ref="E28:O28" si="7">E25*0.006</f>
        <v>135</v>
      </c>
      <c r="F28" s="19">
        <f t="shared" si="7"/>
        <v>135</v>
      </c>
      <c r="G28" s="19">
        <f t="shared" si="7"/>
        <v>135</v>
      </c>
      <c r="H28" s="19">
        <f t="shared" si="7"/>
        <v>135</v>
      </c>
      <c r="I28" s="19">
        <f t="shared" si="7"/>
        <v>135</v>
      </c>
      <c r="J28" s="19">
        <f t="shared" si="7"/>
        <v>135</v>
      </c>
      <c r="K28" s="19">
        <f t="shared" si="7"/>
        <v>135</v>
      </c>
      <c r="L28" s="19">
        <f t="shared" si="7"/>
        <v>135</v>
      </c>
      <c r="M28" s="19">
        <f t="shared" si="7"/>
        <v>135</v>
      </c>
      <c r="N28" s="19">
        <f t="shared" si="7"/>
        <v>135</v>
      </c>
      <c r="O28" s="19">
        <f t="shared" si="7"/>
        <v>135</v>
      </c>
    </row>
    <row r="29" spans="1:16" x14ac:dyDescent="0.3">
      <c r="A29" s="17"/>
      <c r="B29" s="20" t="s">
        <v>104</v>
      </c>
      <c r="C29" s="19">
        <v>0</v>
      </c>
      <c r="D29" s="19">
        <f>D25*0.054</f>
        <v>1215</v>
      </c>
      <c r="E29" s="19">
        <f t="shared" ref="E29:O29" si="8">E25*0.054</f>
        <v>1215</v>
      </c>
      <c r="F29" s="19">
        <f t="shared" si="8"/>
        <v>1215</v>
      </c>
      <c r="G29" s="19">
        <f t="shared" si="8"/>
        <v>1215</v>
      </c>
      <c r="H29" s="19">
        <f t="shared" si="8"/>
        <v>1215</v>
      </c>
      <c r="I29" s="19">
        <f t="shared" si="8"/>
        <v>1215</v>
      </c>
      <c r="J29" s="19">
        <f t="shared" si="8"/>
        <v>1215</v>
      </c>
      <c r="K29" s="19">
        <f t="shared" si="8"/>
        <v>1215</v>
      </c>
      <c r="L29" s="19">
        <f t="shared" si="8"/>
        <v>1215</v>
      </c>
      <c r="M29" s="19">
        <f t="shared" si="8"/>
        <v>1215</v>
      </c>
      <c r="N29" s="19">
        <f t="shared" si="8"/>
        <v>1215</v>
      </c>
      <c r="O29" s="19">
        <f t="shared" si="8"/>
        <v>1215</v>
      </c>
    </row>
    <row r="30" spans="1:16" x14ac:dyDescent="0.3">
      <c r="A30" s="17"/>
      <c r="B30" s="27" t="s">
        <v>76</v>
      </c>
      <c r="C30" s="39">
        <f t="shared" ref="C30:O30" si="9">SUM(C10:C29)</f>
        <v>10343</v>
      </c>
      <c r="D30" s="39">
        <f t="shared" si="9"/>
        <v>65149.441132362932</v>
      </c>
      <c r="E30" s="39">
        <f t="shared" si="9"/>
        <v>65347.32846738532</v>
      </c>
      <c r="F30" s="39">
        <f t="shared" si="9"/>
        <v>65361.780722286261</v>
      </c>
      <c r="G30" s="39">
        <f t="shared" si="9"/>
        <v>65260.353765013548</v>
      </c>
      <c r="H30" s="39">
        <f t="shared" si="9"/>
        <v>65163.503414908933</v>
      </c>
      <c r="I30" s="39">
        <f t="shared" si="9"/>
        <v>65173.7954536045</v>
      </c>
      <c r="J30" s="39">
        <f t="shared" si="9"/>
        <v>65371.68278862688</v>
      </c>
      <c r="K30" s="39">
        <f t="shared" si="9"/>
        <v>65386.135043527829</v>
      </c>
      <c r="L30" s="39">
        <f t="shared" si="9"/>
        <v>65284.708086255108</v>
      </c>
      <c r="M30" s="39">
        <f t="shared" si="9"/>
        <v>65687.857736150501</v>
      </c>
      <c r="N30" s="39">
        <f t="shared" si="9"/>
        <v>65198.149774846068</v>
      </c>
      <c r="O30" s="39">
        <f t="shared" si="9"/>
        <v>65396.037109868455</v>
      </c>
      <c r="P30" s="81"/>
    </row>
    <row r="31" spans="1:16" x14ac:dyDescent="0.3">
      <c r="A31" s="17"/>
      <c r="B31" s="17"/>
      <c r="C31" s="22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</row>
    <row r="32" spans="1:16" x14ac:dyDescent="0.3">
      <c r="A32" s="17"/>
      <c r="B32" s="28" t="s">
        <v>39</v>
      </c>
      <c r="C32" s="40">
        <f t="shared" ref="C32:O32" si="10">C8-C30</f>
        <v>-480343</v>
      </c>
      <c r="D32" s="40">
        <f t="shared" si="10"/>
        <v>-81145.618485104293</v>
      </c>
      <c r="E32" s="40">
        <f t="shared" si="10"/>
        <v>16614.240880320955</v>
      </c>
      <c r="F32" s="40">
        <f t="shared" si="10"/>
        <v>16888.833723438845</v>
      </c>
      <c r="G32" s="40">
        <f t="shared" si="10"/>
        <v>-79038.278464742616</v>
      </c>
      <c r="H32" s="40">
        <f t="shared" si="10"/>
        <v>-80878.435116730325</v>
      </c>
      <c r="I32" s="40">
        <f t="shared" si="10"/>
        <v>13317.113618485557</v>
      </c>
      <c r="J32" s="40">
        <f t="shared" si="10"/>
        <v>111076.9729839107</v>
      </c>
      <c r="K32" s="40">
        <f t="shared" si="10"/>
        <v>111351.56582702869</v>
      </c>
      <c r="L32" s="40">
        <f t="shared" si="10"/>
        <v>15424.453638847117</v>
      </c>
      <c r="M32" s="40">
        <f t="shared" si="10"/>
        <v>13084.296986859525</v>
      </c>
      <c r="N32" s="40">
        <f t="shared" si="10"/>
        <v>-80220.15427792471</v>
      </c>
      <c r="O32" s="40">
        <f t="shared" si="10"/>
        <v>-76460.294912499463</v>
      </c>
    </row>
    <row r="33" spans="1:16" x14ac:dyDescent="0.3">
      <c r="A33" s="17"/>
      <c r="B33" s="20" t="s">
        <v>106</v>
      </c>
      <c r="C33" s="19">
        <v>0</v>
      </c>
      <c r="D33" s="19">
        <v>0</v>
      </c>
      <c r="E33" s="19">
        <v>0</v>
      </c>
      <c r="F33" s="19">
        <v>0</v>
      </c>
      <c r="G33" s="19">
        <v>0</v>
      </c>
      <c r="H33" s="19">
        <v>0</v>
      </c>
      <c r="I33" s="19">
        <v>0</v>
      </c>
      <c r="J33" s="19">
        <v>0</v>
      </c>
      <c r="K33" s="19">
        <v>0</v>
      </c>
      <c r="L33" s="19">
        <v>0</v>
      </c>
      <c r="M33" s="19">
        <v>0</v>
      </c>
      <c r="N33" s="19">
        <v>0</v>
      </c>
      <c r="O33" s="19">
        <v>0</v>
      </c>
    </row>
    <row r="34" spans="1:16" x14ac:dyDescent="0.3">
      <c r="A34" s="17"/>
      <c r="B34" s="20" t="s">
        <v>86</v>
      </c>
      <c r="C34" s="79"/>
      <c r="D34" s="19">
        <f>50000/12</f>
        <v>4166.666666666667</v>
      </c>
      <c r="E34" s="19">
        <f t="shared" ref="E34:O34" si="11">50000/12</f>
        <v>4166.666666666667</v>
      </c>
      <c r="F34" s="19">
        <f t="shared" si="11"/>
        <v>4166.666666666667</v>
      </c>
      <c r="G34" s="19">
        <f t="shared" si="11"/>
        <v>4166.666666666667</v>
      </c>
      <c r="H34" s="19">
        <f t="shared" si="11"/>
        <v>4166.666666666667</v>
      </c>
      <c r="I34" s="19">
        <f t="shared" si="11"/>
        <v>4166.666666666667</v>
      </c>
      <c r="J34" s="19">
        <f t="shared" si="11"/>
        <v>4166.666666666667</v>
      </c>
      <c r="K34" s="19">
        <f t="shared" si="11"/>
        <v>4166.666666666667</v>
      </c>
      <c r="L34" s="19">
        <f t="shared" si="11"/>
        <v>4166.666666666667</v>
      </c>
      <c r="M34" s="19">
        <f t="shared" si="11"/>
        <v>4166.666666666667</v>
      </c>
      <c r="N34" s="19">
        <f t="shared" si="11"/>
        <v>4166.666666666667</v>
      </c>
      <c r="O34" s="19">
        <f t="shared" si="11"/>
        <v>4166.666666666667</v>
      </c>
    </row>
    <row r="35" spans="1:16" x14ac:dyDescent="0.3">
      <c r="A35" s="17"/>
      <c r="B35" s="20" t="s">
        <v>84</v>
      </c>
      <c r="C35" s="19">
        <v>0</v>
      </c>
      <c r="D35" s="19">
        <v>0</v>
      </c>
      <c r="E35" s="19">
        <v>0</v>
      </c>
      <c r="F35" s="19">
        <v>0</v>
      </c>
      <c r="G35" s="19">
        <v>0</v>
      </c>
      <c r="H35" s="19">
        <v>0</v>
      </c>
      <c r="I35" s="19">
        <v>0</v>
      </c>
      <c r="J35" s="19">
        <v>0</v>
      </c>
      <c r="K35" s="19">
        <v>0</v>
      </c>
      <c r="L35" s="19">
        <v>0</v>
      </c>
      <c r="M35" s="19">
        <v>0</v>
      </c>
      <c r="N35" s="19">
        <v>0</v>
      </c>
      <c r="O35" s="19">
        <v>0</v>
      </c>
    </row>
    <row r="36" spans="1:16" x14ac:dyDescent="0.3">
      <c r="A36" s="17"/>
      <c r="B36" s="20" t="s">
        <v>124</v>
      </c>
      <c r="C36" s="19">
        <f>LoanAmount</f>
        <v>250000</v>
      </c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  <c r="O36" s="19">
        <v>0</v>
      </c>
    </row>
    <row r="37" spans="1:16" x14ac:dyDescent="0.3">
      <c r="A37" s="17"/>
      <c r="B37" s="20" t="s">
        <v>100</v>
      </c>
      <c r="C37" s="19">
        <f>Table5[[#Totals],[Total Cost]]</f>
        <v>5400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  <c r="O37" s="19">
        <v>0</v>
      </c>
    </row>
    <row r="38" spans="1:16" x14ac:dyDescent="0.3">
      <c r="A38" s="17"/>
      <c r="B38" s="20" t="s">
        <v>101</v>
      </c>
      <c r="C38" s="19">
        <v>0</v>
      </c>
      <c r="D38" s="19">
        <f t="shared" ref="D38:O38" si="12">Payment</f>
        <v>3000.265778734703</v>
      </c>
      <c r="E38" s="19">
        <f t="shared" si="12"/>
        <v>3000.265778734703</v>
      </c>
      <c r="F38" s="19">
        <f t="shared" si="12"/>
        <v>3000.265778734703</v>
      </c>
      <c r="G38" s="19">
        <f t="shared" si="12"/>
        <v>3000.265778734703</v>
      </c>
      <c r="H38" s="19">
        <f t="shared" si="12"/>
        <v>3000.265778734703</v>
      </c>
      <c r="I38" s="19">
        <f t="shared" si="12"/>
        <v>3000.265778734703</v>
      </c>
      <c r="J38" s="19">
        <f t="shared" si="12"/>
        <v>3000.265778734703</v>
      </c>
      <c r="K38" s="19">
        <f t="shared" si="12"/>
        <v>3000.265778734703</v>
      </c>
      <c r="L38" s="19">
        <f t="shared" si="12"/>
        <v>3000.265778734703</v>
      </c>
      <c r="M38" s="19">
        <f t="shared" si="12"/>
        <v>3000.265778734703</v>
      </c>
      <c r="N38" s="19">
        <f t="shared" si="12"/>
        <v>3000.265778734703</v>
      </c>
      <c r="O38" s="19">
        <f t="shared" si="12"/>
        <v>3000.265778734703</v>
      </c>
    </row>
    <row r="39" spans="1:16" x14ac:dyDescent="0.3">
      <c r="A39" s="17"/>
      <c r="B39" s="23" t="s">
        <v>102</v>
      </c>
      <c r="C39" s="41">
        <f>C32-C33-C34+C35+C36-C37-C38</f>
        <v>-235743</v>
      </c>
      <c r="D39" s="41">
        <f t="shared" ref="D39:O39" si="13">D32-D33-D34+D35+D36-D37-D38</f>
        <v>-88312.550930505662</v>
      </c>
      <c r="E39" s="41">
        <f t="shared" si="13"/>
        <v>9447.3084349195833</v>
      </c>
      <c r="F39" s="41">
        <f t="shared" si="13"/>
        <v>9721.9012780374742</v>
      </c>
      <c r="G39" s="41">
        <f t="shared" si="13"/>
        <v>-86205.210910143986</v>
      </c>
      <c r="H39" s="41">
        <f t="shared" si="13"/>
        <v>-88045.367562131694</v>
      </c>
      <c r="I39" s="41">
        <f t="shared" si="13"/>
        <v>6150.1811730841855</v>
      </c>
      <c r="J39" s="41">
        <f t="shared" si="13"/>
        <v>103910.04053850933</v>
      </c>
      <c r="K39" s="41">
        <f t="shared" si="13"/>
        <v>104184.63338162733</v>
      </c>
      <c r="L39" s="41">
        <f t="shared" si="13"/>
        <v>8257.5211934457457</v>
      </c>
      <c r="M39" s="41">
        <f t="shared" si="13"/>
        <v>5917.3645414581533</v>
      </c>
      <c r="N39" s="41">
        <f t="shared" si="13"/>
        <v>-87387.08672332608</v>
      </c>
      <c r="O39" s="41">
        <f t="shared" si="13"/>
        <v>-83627.227357900832</v>
      </c>
    </row>
    <row r="40" spans="1:16" x14ac:dyDescent="0.3">
      <c r="A40" s="17"/>
      <c r="B40" s="17"/>
      <c r="C40" s="22"/>
      <c r="D40" s="22"/>
      <c r="E40" s="22"/>
      <c r="F40" s="22"/>
      <c r="G40" s="22"/>
      <c r="H40" s="22"/>
      <c r="I40" s="22"/>
      <c r="J40" s="22"/>
      <c r="K40" s="22"/>
      <c r="L40" s="22"/>
      <c r="M40" s="22"/>
      <c r="N40" s="22"/>
      <c r="O40" s="22"/>
    </row>
    <row r="41" spans="1:16" x14ac:dyDescent="0.3">
      <c r="A41" s="17"/>
      <c r="B41" s="25" t="s">
        <v>79</v>
      </c>
      <c r="C41" s="29">
        <f t="shared" ref="C41:O41" si="14">C4+C39</f>
        <v>14257</v>
      </c>
      <c r="D41" s="29">
        <f t="shared" si="14"/>
        <v>-74055.550930505662</v>
      </c>
      <c r="E41" s="29">
        <f t="shared" si="14"/>
        <v>-64608.242495586077</v>
      </c>
      <c r="F41" s="29">
        <f t="shared" si="14"/>
        <v>-54886.341217548601</v>
      </c>
      <c r="G41" s="29">
        <f t="shared" si="14"/>
        <v>-141091.55212769259</v>
      </c>
      <c r="H41" s="29">
        <f t="shared" si="14"/>
        <v>-229136.91968982428</v>
      </c>
      <c r="I41" s="29">
        <f t="shared" si="14"/>
        <v>-222986.73851674009</v>
      </c>
      <c r="J41" s="29">
        <f t="shared" si="14"/>
        <v>-119076.69797823076</v>
      </c>
      <c r="K41" s="29">
        <f t="shared" si="14"/>
        <v>-14892.064596603435</v>
      </c>
      <c r="L41" s="29">
        <f t="shared" si="14"/>
        <v>-6634.5434031576897</v>
      </c>
      <c r="M41" s="29">
        <f t="shared" si="14"/>
        <v>-717.17886169953636</v>
      </c>
      <c r="N41" s="29">
        <f t="shared" si="14"/>
        <v>-88104.265585025612</v>
      </c>
      <c r="O41" s="29">
        <f t="shared" si="14"/>
        <v>-171731.49294292644</v>
      </c>
      <c r="P41" s="81">
        <f>O41-C41</f>
        <v>-185988.49294292644</v>
      </c>
    </row>
    <row r="43" spans="1:16" x14ac:dyDescent="0.3">
      <c r="B43" s="72" t="s">
        <v>125</v>
      </c>
      <c r="C43" s="73" t="e">
        <f t="shared" ref="C43:O43" si="15">C32/C6</f>
        <v>#DIV/0!</v>
      </c>
      <c r="D43" s="73">
        <f t="shared" si="15"/>
        <v>-0.14807491322434888</v>
      </c>
      <c r="E43" s="73">
        <f t="shared" si="15"/>
        <v>3.0100358073760877E-2</v>
      </c>
      <c r="F43" s="73">
        <f t="shared" si="15"/>
        <v>3.0581828759737254E-2</v>
      </c>
      <c r="G43" s="73">
        <f t="shared" si="15"/>
        <v>-0.14364795963813212</v>
      </c>
      <c r="H43" s="73">
        <f t="shared" si="15"/>
        <v>-0.14751165003958397</v>
      </c>
      <c r="I43" s="73">
        <f t="shared" si="15"/>
        <v>2.4279552127882655E-2</v>
      </c>
      <c r="J43" s="73">
        <f t="shared" si="15"/>
        <v>0.20106297992268982</v>
      </c>
      <c r="K43" s="73">
        <f t="shared" si="15"/>
        <v>0.2014546242307175</v>
      </c>
      <c r="L43" s="73">
        <f t="shared" si="15"/>
        <v>2.8008347619512729E-2</v>
      </c>
      <c r="M43" s="73">
        <f t="shared" si="15"/>
        <v>2.384285877891118E-2</v>
      </c>
      <c r="N43" s="73">
        <f t="shared" si="15"/>
        <v>-0.14612635649505659</v>
      </c>
      <c r="O43" s="73">
        <f t="shared" si="15"/>
        <v>-0.13828061577037129</v>
      </c>
    </row>
    <row r="44" spans="1:16" x14ac:dyDescent="0.3">
      <c r="B44" s="72" t="s">
        <v>169</v>
      </c>
      <c r="C44" s="74" t="e">
        <f>C32/C38</f>
        <v>#DIV/0!</v>
      </c>
      <c r="D44" s="75">
        <f>D39/D38</f>
        <v>-29.434909252522811</v>
      </c>
      <c r="E44" s="75">
        <f t="shared" ref="E44:O44" si="16">E39/E38</f>
        <v>3.1488238481671385</v>
      </c>
      <c r="F44" s="75">
        <f t="shared" si="16"/>
        <v>3.2403466875982816</v>
      </c>
      <c r="G44" s="75">
        <f t="shared" si="16"/>
        <v>-28.732524805352131</v>
      </c>
      <c r="H44" s="75">
        <f t="shared" si="16"/>
        <v>-29.345856019216711</v>
      </c>
      <c r="I44" s="75">
        <f t="shared" si="16"/>
        <v>2.0498787862980228</v>
      </c>
      <c r="J44" s="75">
        <f t="shared" si="16"/>
        <v>34.633611886987936</v>
      </c>
      <c r="K44" s="75">
        <f t="shared" si="16"/>
        <v>34.725134726419114</v>
      </c>
      <c r="L44" s="75">
        <f t="shared" si="16"/>
        <v>2.7522632334686614</v>
      </c>
      <c r="M44" s="75">
        <f t="shared" si="16"/>
        <v>1.9722801171147155</v>
      </c>
      <c r="N44" s="75">
        <f t="shared" si="16"/>
        <v>-29.126448510898154</v>
      </c>
      <c r="O44" s="75">
        <f t="shared" si="16"/>
        <v>-27.873273078216691</v>
      </c>
      <c r="P44" s="154">
        <f>AVERAGE(D44:O44)</f>
        <v>-5.1658893650127196</v>
      </c>
    </row>
  </sheetData>
  <mergeCells count="2">
    <mergeCell ref="A1:O1"/>
    <mergeCell ref="A2:O2"/>
  </mergeCells>
  <pageMargins left="0.7" right="0.7" top="0.75" bottom="0.75" header="0.3" footer="0.3"/>
  <pageSetup scale="52" orientation="landscape" horizontalDpi="4294967293" verticalDpi="4294967293" r:id="rId1"/>
  <ignoredErrors>
    <ignoredError sqref="D41" evalError="1"/>
  </ignoredErrors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9"/>
    <pageSetUpPr fitToPage="1"/>
  </sheetPr>
  <dimension ref="A1:O44"/>
  <sheetViews>
    <sheetView topLeftCell="A2" zoomScale="150" zoomScaleNormal="150" zoomScalePageLayoutView="91" workbookViewId="0">
      <selection activeCell="D7" sqref="D7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4" width="13.109375" customWidth="1"/>
    <col min="15" max="15" width="12.109375" customWidth="1"/>
  </cols>
  <sheetData>
    <row r="1" spans="1:15" ht="23.4" hidden="1" x14ac:dyDescent="0.45">
      <c r="A1" s="141">
        <f>Transactions!A1</f>
        <v>0</v>
      </c>
      <c r="B1" s="142"/>
      <c r="C1" s="142"/>
      <c r="D1" s="142"/>
      <c r="E1" s="142"/>
      <c r="F1" s="142"/>
      <c r="G1" s="142"/>
      <c r="H1" s="142"/>
      <c r="I1" s="142"/>
      <c r="J1" s="142"/>
      <c r="K1" s="142"/>
      <c r="L1" s="142"/>
      <c r="M1" s="142"/>
      <c r="N1" s="142"/>
    </row>
    <row r="2" spans="1:15" ht="23.4" x14ac:dyDescent="0.45">
      <c r="A2" s="142" t="s">
        <v>184</v>
      </c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</row>
    <row r="3" spans="1:15" x14ac:dyDescent="0.3">
      <c r="A3" s="17"/>
      <c r="B3" s="17"/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5" x14ac:dyDescent="0.3">
      <c r="A4" s="17"/>
      <c r="B4" s="25" t="s">
        <v>78</v>
      </c>
      <c r="C4" s="26">
        <f>'2022 Forecast'!O41</f>
        <v>-171731.49294292644</v>
      </c>
      <c r="D4" s="26">
        <f>C41</f>
        <v>-163514.34205499449</v>
      </c>
      <c r="E4" s="26">
        <f t="shared" ref="E4:N4" si="0">D41</f>
        <v>-158330.52450039587</v>
      </c>
      <c r="F4" s="26">
        <f t="shared" si="0"/>
        <v>-155496.70694579725</v>
      </c>
      <c r="G4" s="26">
        <f t="shared" si="0"/>
        <v>-143112.88939119861</v>
      </c>
      <c r="H4" s="26">
        <f t="shared" si="0"/>
        <v>-130729.07183659996</v>
      </c>
      <c r="I4" s="26">
        <f t="shared" si="0"/>
        <v>-127965.25428200133</v>
      </c>
      <c r="J4" s="26">
        <f t="shared" si="0"/>
        <v>-134681.4367274027</v>
      </c>
      <c r="K4" s="26">
        <f t="shared" si="0"/>
        <v>-141397.61917280409</v>
      </c>
      <c r="L4" s="26">
        <f t="shared" si="0"/>
        <v>-138563.80161820547</v>
      </c>
      <c r="M4" s="26">
        <f t="shared" si="0"/>
        <v>-136053.98406360685</v>
      </c>
      <c r="N4" s="26">
        <f t="shared" si="0"/>
        <v>-123670.16650900821</v>
      </c>
    </row>
    <row r="5" spans="1:15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</row>
    <row r="6" spans="1:15" x14ac:dyDescent="0.3">
      <c r="A6" s="17"/>
      <c r="B6" s="30" t="s">
        <v>74</v>
      </c>
      <c r="C6" s="24">
        <f>545000*120%</f>
        <v>654000</v>
      </c>
      <c r="D6" s="24">
        <v>548000</v>
      </c>
      <c r="E6" s="24">
        <v>545000</v>
      </c>
      <c r="F6" s="24">
        <f t="shared" ref="F6:H6" si="1">545000*120%</f>
        <v>654000</v>
      </c>
      <c r="G6" s="24">
        <f t="shared" si="1"/>
        <v>654000</v>
      </c>
      <c r="H6" s="24">
        <v>545000</v>
      </c>
      <c r="I6" s="24">
        <f>545000*80%</f>
        <v>436000</v>
      </c>
      <c r="J6" s="24">
        <f>545000*80%</f>
        <v>436000</v>
      </c>
      <c r="K6" s="24">
        <v>545000</v>
      </c>
      <c r="L6" s="24">
        <v>545000</v>
      </c>
      <c r="M6" s="24">
        <f t="shared" ref="M6:N6" si="2">545000*120%</f>
        <v>654000</v>
      </c>
      <c r="N6" s="24">
        <f t="shared" si="2"/>
        <v>654000</v>
      </c>
      <c r="O6" s="81"/>
    </row>
    <row r="7" spans="1:15" x14ac:dyDescent="0.3">
      <c r="A7" s="17"/>
      <c r="B7" s="30" t="s">
        <v>73</v>
      </c>
      <c r="C7" s="24">
        <f>StartingInventory[[#Totals],[Total]]*120%</f>
        <v>564000</v>
      </c>
      <c r="D7" s="24">
        <f>StartingInventory[[#Totals],[Total]]</f>
        <v>470000</v>
      </c>
      <c r="E7" s="24">
        <f>StartingInventory[[#Totals],[Total]]</f>
        <v>470000</v>
      </c>
      <c r="F7" s="24">
        <f>StartingInventory[[#Totals],[Total]]*120%</f>
        <v>564000</v>
      </c>
      <c r="G7" s="24">
        <f>StartingInventory[[#Totals],[Total]]*120%</f>
        <v>564000</v>
      </c>
      <c r="H7" s="24">
        <f>StartingInventory[[#Totals],[Total]]</f>
        <v>470000</v>
      </c>
      <c r="I7" s="24">
        <f>StartingInventory[[#Totals],[Total]]*80%</f>
        <v>376000</v>
      </c>
      <c r="J7" s="24">
        <f>StartingInventory[[#Totals],[Total]]*80%</f>
        <v>376000</v>
      </c>
      <c r="K7" s="24">
        <f>StartingInventory[[#Totals],[Total]]</f>
        <v>470000</v>
      </c>
      <c r="L7" s="24">
        <f>StartingInventory[[#Totals],[Total]]</f>
        <v>470000</v>
      </c>
      <c r="M7" s="24">
        <f>StartingInventory[[#Totals],[Total]]*120%</f>
        <v>564000</v>
      </c>
      <c r="N7" s="24">
        <f>StartingInventory[[#Totals],[Total]]*120%</f>
        <v>564000</v>
      </c>
    </row>
    <row r="8" spans="1:15" x14ac:dyDescent="0.3">
      <c r="A8" s="17"/>
      <c r="B8" s="23" t="s">
        <v>75</v>
      </c>
      <c r="C8" s="31">
        <f>C6-C7</f>
        <v>90000</v>
      </c>
      <c r="D8" s="31">
        <f t="shared" ref="D8:N8" si="3">D6-D7</f>
        <v>78000</v>
      </c>
      <c r="E8" s="31">
        <f t="shared" si="3"/>
        <v>75000</v>
      </c>
      <c r="F8" s="31">
        <f t="shared" si="3"/>
        <v>90000</v>
      </c>
      <c r="G8" s="31">
        <f t="shared" si="3"/>
        <v>90000</v>
      </c>
      <c r="H8" s="31">
        <f t="shared" si="3"/>
        <v>75000</v>
      </c>
      <c r="I8" s="31">
        <f t="shared" si="3"/>
        <v>60000</v>
      </c>
      <c r="J8" s="31">
        <f t="shared" si="3"/>
        <v>60000</v>
      </c>
      <c r="K8" s="31">
        <f t="shared" si="3"/>
        <v>75000</v>
      </c>
      <c r="L8" s="31">
        <f t="shared" si="3"/>
        <v>75000</v>
      </c>
      <c r="M8" s="31">
        <f t="shared" si="3"/>
        <v>90000</v>
      </c>
      <c r="N8" s="31">
        <f t="shared" si="3"/>
        <v>90000</v>
      </c>
    </row>
    <row r="9" spans="1:15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</row>
    <row r="10" spans="1:15" x14ac:dyDescent="0.3">
      <c r="A10" s="17"/>
      <c r="B10" s="20" t="s">
        <v>4</v>
      </c>
      <c r="C10" s="19">
        <f>500+25</f>
        <v>525</v>
      </c>
      <c r="D10" s="19">
        <f t="shared" ref="D10:N10" si="4">500+25</f>
        <v>525</v>
      </c>
      <c r="E10" s="19">
        <f t="shared" si="4"/>
        <v>525</v>
      </c>
      <c r="F10" s="19">
        <f t="shared" si="4"/>
        <v>525</v>
      </c>
      <c r="G10" s="19">
        <f t="shared" si="4"/>
        <v>525</v>
      </c>
      <c r="H10" s="19">
        <f t="shared" si="4"/>
        <v>525</v>
      </c>
      <c r="I10" s="19">
        <f t="shared" si="4"/>
        <v>525</v>
      </c>
      <c r="J10" s="19">
        <f t="shared" si="4"/>
        <v>525</v>
      </c>
      <c r="K10" s="19">
        <f t="shared" si="4"/>
        <v>525</v>
      </c>
      <c r="L10" s="19">
        <f t="shared" si="4"/>
        <v>525</v>
      </c>
      <c r="M10" s="19">
        <f t="shared" si="4"/>
        <v>525</v>
      </c>
      <c r="N10" s="19">
        <f t="shared" si="4"/>
        <v>525</v>
      </c>
    </row>
    <row r="11" spans="1:15" x14ac:dyDescent="0.3">
      <c r="A11" s="17"/>
      <c r="B11" s="20" t="s">
        <v>17</v>
      </c>
      <c r="C11" s="19">
        <v>150</v>
      </c>
      <c r="D11" s="19">
        <v>150</v>
      </c>
      <c r="E11" s="19">
        <v>150</v>
      </c>
      <c r="F11" s="19">
        <v>150</v>
      </c>
      <c r="G11" s="19">
        <v>150</v>
      </c>
      <c r="H11" s="19">
        <v>150</v>
      </c>
      <c r="I11" s="19">
        <v>150</v>
      </c>
      <c r="J11" s="19">
        <v>150</v>
      </c>
      <c r="K11" s="19">
        <v>150</v>
      </c>
      <c r="L11" s="19">
        <v>150</v>
      </c>
      <c r="M11" s="19">
        <v>150</v>
      </c>
      <c r="N11" s="19">
        <v>150</v>
      </c>
    </row>
    <row r="12" spans="1:15" x14ac:dyDescent="0.3">
      <c r="A12" s="17"/>
      <c r="B12" s="20" t="s">
        <v>18</v>
      </c>
      <c r="C12" s="19">
        <f>5%*C6</f>
        <v>32700</v>
      </c>
      <c r="D12" s="19">
        <f t="shared" ref="D12:N12" si="5">5%*D6</f>
        <v>27400</v>
      </c>
      <c r="E12" s="19">
        <f t="shared" si="5"/>
        <v>27250</v>
      </c>
      <c r="F12" s="19">
        <f t="shared" si="5"/>
        <v>32700</v>
      </c>
      <c r="G12" s="19">
        <f t="shared" si="5"/>
        <v>32700</v>
      </c>
      <c r="H12" s="19">
        <f t="shared" si="5"/>
        <v>27250</v>
      </c>
      <c r="I12" s="19">
        <f t="shared" si="5"/>
        <v>21800</v>
      </c>
      <c r="J12" s="19">
        <f t="shared" si="5"/>
        <v>21800</v>
      </c>
      <c r="K12" s="19">
        <f t="shared" si="5"/>
        <v>27250</v>
      </c>
      <c r="L12" s="19">
        <f t="shared" si="5"/>
        <v>27250</v>
      </c>
      <c r="M12" s="19">
        <f t="shared" si="5"/>
        <v>32700</v>
      </c>
      <c r="N12" s="19">
        <f t="shared" si="5"/>
        <v>32700</v>
      </c>
    </row>
    <row r="13" spans="1:15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</row>
    <row r="14" spans="1:15" x14ac:dyDescent="0.3">
      <c r="A14" s="17"/>
      <c r="B14" s="20" t="s">
        <v>21</v>
      </c>
      <c r="C14" s="19">
        <f>(10000/12)*5</f>
        <v>4166.666666666667</v>
      </c>
      <c r="D14" s="19">
        <f t="shared" ref="D14:N14" si="6">(10000/12)*5</f>
        <v>4166.666666666667</v>
      </c>
      <c r="E14" s="19">
        <f t="shared" si="6"/>
        <v>4166.666666666667</v>
      </c>
      <c r="F14" s="19">
        <f t="shared" si="6"/>
        <v>4166.666666666667</v>
      </c>
      <c r="G14" s="19">
        <f t="shared" si="6"/>
        <v>4166.666666666667</v>
      </c>
      <c r="H14" s="19">
        <f t="shared" si="6"/>
        <v>4166.666666666667</v>
      </c>
      <c r="I14" s="19">
        <f t="shared" si="6"/>
        <v>4166.666666666667</v>
      </c>
      <c r="J14" s="19">
        <f t="shared" si="6"/>
        <v>4166.666666666667</v>
      </c>
      <c r="K14" s="19">
        <f t="shared" si="6"/>
        <v>4166.666666666667</v>
      </c>
      <c r="L14" s="19">
        <f t="shared" si="6"/>
        <v>4166.666666666667</v>
      </c>
      <c r="M14" s="19">
        <f t="shared" si="6"/>
        <v>4166.666666666667</v>
      </c>
      <c r="N14" s="19">
        <f t="shared" si="6"/>
        <v>4166.666666666667</v>
      </c>
    </row>
    <row r="15" spans="1:15" x14ac:dyDescent="0.3">
      <c r="A15" s="17"/>
      <c r="B15" s="20" t="s">
        <v>22</v>
      </c>
      <c r="C15" s="19">
        <f>Table3[[#Totals],[Premium]]</f>
        <v>2103</v>
      </c>
      <c r="D15" s="19">
        <f>Table3[[#Totals],[Premium]]</f>
        <v>2103</v>
      </c>
      <c r="E15" s="19">
        <f>Table3[[#Totals],[Premium]]</f>
        <v>2103</v>
      </c>
      <c r="F15" s="19">
        <f>Table3[[#Totals],[Premium]]</f>
        <v>2103</v>
      </c>
      <c r="G15" s="19">
        <f>Table3[[#Totals],[Premium]]</f>
        <v>2103</v>
      </c>
      <c r="H15" s="19">
        <f>Table3[[#Totals],[Premium]]</f>
        <v>2103</v>
      </c>
      <c r="I15" s="19">
        <f>Table3[[#Totals],[Premium]]</f>
        <v>2103</v>
      </c>
      <c r="J15" s="19">
        <f>Table3[[#Totals],[Premium]]</f>
        <v>2103</v>
      </c>
      <c r="K15" s="19">
        <f>Table3[[#Totals],[Premium]]</f>
        <v>2103</v>
      </c>
      <c r="L15" s="19">
        <f>Table3[[#Totals],[Premium]]</f>
        <v>2103</v>
      </c>
      <c r="M15" s="19">
        <f>Table3[[#Totals],[Premium]]</f>
        <v>2103</v>
      </c>
      <c r="N15" s="19">
        <f>Table3[[#Totals],[Premium]]</f>
        <v>2103</v>
      </c>
    </row>
    <row r="16" spans="1:15" x14ac:dyDescent="0.3">
      <c r="A16" s="17"/>
      <c r="B16" s="20" t="s">
        <v>25</v>
      </c>
      <c r="C16" s="19">
        <f>200+150+50</f>
        <v>400</v>
      </c>
      <c r="D16" s="19">
        <f>200+150+50+500</f>
        <v>900</v>
      </c>
      <c r="E16" s="19">
        <f t="shared" ref="D16:N16" si="7">200+150+50</f>
        <v>400</v>
      </c>
      <c r="F16" s="19">
        <f t="shared" si="7"/>
        <v>400</v>
      </c>
      <c r="G16" s="19">
        <f t="shared" si="7"/>
        <v>400</v>
      </c>
      <c r="H16" s="19">
        <f t="shared" si="7"/>
        <v>400</v>
      </c>
      <c r="I16" s="19">
        <f t="shared" si="7"/>
        <v>400</v>
      </c>
      <c r="J16" s="19">
        <f t="shared" si="7"/>
        <v>400</v>
      </c>
      <c r="K16" s="19">
        <f t="shared" si="7"/>
        <v>400</v>
      </c>
      <c r="L16" s="19">
        <f t="shared" si="7"/>
        <v>400</v>
      </c>
      <c r="M16" s="19">
        <f t="shared" si="7"/>
        <v>400</v>
      </c>
      <c r="N16" s="19">
        <f t="shared" si="7"/>
        <v>400</v>
      </c>
    </row>
    <row r="17" spans="1:15" x14ac:dyDescent="0.3">
      <c r="A17" s="17"/>
      <c r="B17" s="20" t="s">
        <v>26</v>
      </c>
      <c r="C17" s="19">
        <v>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0</v>
      </c>
      <c r="N17" s="19">
        <v>0</v>
      </c>
    </row>
    <row r="18" spans="1:15" x14ac:dyDescent="0.3">
      <c r="A18" s="17"/>
      <c r="B18" s="21" t="s">
        <v>96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</row>
    <row r="19" spans="1:15" x14ac:dyDescent="0.3">
      <c r="A19" s="17"/>
      <c r="B19" s="21" t="s">
        <v>97</v>
      </c>
      <c r="C19" s="19">
        <v>1000</v>
      </c>
      <c r="D19" s="19">
        <v>1000</v>
      </c>
      <c r="E19" s="19">
        <v>1000</v>
      </c>
      <c r="F19" s="19">
        <v>1000</v>
      </c>
      <c r="G19" s="19">
        <v>1000</v>
      </c>
      <c r="H19" s="19">
        <v>1000</v>
      </c>
      <c r="I19" s="19">
        <v>1000</v>
      </c>
      <c r="J19" s="19">
        <v>1000</v>
      </c>
      <c r="K19" s="19">
        <v>1000</v>
      </c>
      <c r="L19" s="19">
        <v>1000</v>
      </c>
      <c r="M19" s="19">
        <v>1000</v>
      </c>
      <c r="N19" s="19">
        <v>1000</v>
      </c>
    </row>
    <row r="20" spans="1:15" x14ac:dyDescent="0.3">
      <c r="A20" s="17"/>
      <c r="B20" s="20" t="s">
        <v>31</v>
      </c>
      <c r="C20" s="19">
        <v>5000</v>
      </c>
      <c r="D20" s="19">
        <v>5000</v>
      </c>
      <c r="E20" s="19">
        <v>5000</v>
      </c>
      <c r="F20" s="19">
        <v>5000</v>
      </c>
      <c r="G20" s="19">
        <v>5000</v>
      </c>
      <c r="H20" s="19">
        <v>5000</v>
      </c>
      <c r="I20" s="19">
        <v>5000</v>
      </c>
      <c r="J20" s="19">
        <v>5000</v>
      </c>
      <c r="K20" s="19">
        <v>5000</v>
      </c>
      <c r="L20" s="19">
        <v>5000</v>
      </c>
      <c r="M20" s="19">
        <v>5000</v>
      </c>
      <c r="N20" s="19">
        <v>5000</v>
      </c>
    </row>
    <row r="21" spans="1:15" x14ac:dyDescent="0.3">
      <c r="A21" s="17"/>
      <c r="B21" s="20" t="s">
        <v>3</v>
      </c>
      <c r="C21" s="19">
        <v>300</v>
      </c>
      <c r="D21" s="19">
        <v>300</v>
      </c>
      <c r="E21" s="19">
        <v>300</v>
      </c>
      <c r="F21" s="19">
        <v>300</v>
      </c>
      <c r="G21" s="19">
        <v>300</v>
      </c>
      <c r="H21" s="19">
        <v>300</v>
      </c>
      <c r="I21" s="19">
        <v>300</v>
      </c>
      <c r="J21" s="19">
        <v>300</v>
      </c>
      <c r="K21" s="19">
        <v>300</v>
      </c>
      <c r="L21" s="19">
        <v>300</v>
      </c>
      <c r="M21" s="19">
        <v>300</v>
      </c>
      <c r="N21" s="19">
        <v>300</v>
      </c>
    </row>
    <row r="22" spans="1:15" x14ac:dyDescent="0.3">
      <c r="A22" s="17"/>
      <c r="B22" s="20" t="s">
        <v>98</v>
      </c>
      <c r="C22" s="19">
        <v>0</v>
      </c>
      <c r="D22" s="19">
        <v>0</v>
      </c>
      <c r="E22" s="19">
        <v>0</v>
      </c>
      <c r="F22" s="19">
        <v>0</v>
      </c>
      <c r="G22" s="19">
        <v>0</v>
      </c>
      <c r="H22" s="19">
        <v>70</v>
      </c>
      <c r="I22" s="19">
        <v>0</v>
      </c>
      <c r="J22" s="19">
        <v>0</v>
      </c>
      <c r="K22" s="19">
        <v>0</v>
      </c>
      <c r="L22" s="19">
        <v>0</v>
      </c>
      <c r="M22" s="19">
        <v>0</v>
      </c>
      <c r="N22" s="19">
        <v>0</v>
      </c>
    </row>
    <row r="23" spans="1:15" x14ac:dyDescent="0.3">
      <c r="A23" s="17"/>
      <c r="B23" s="21" t="s">
        <v>127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</row>
    <row r="24" spans="1:15" x14ac:dyDescent="0.3">
      <c r="A24" s="17"/>
      <c r="B24" s="20" t="s">
        <v>34</v>
      </c>
      <c r="C24" s="19">
        <f>250+50+100</f>
        <v>400</v>
      </c>
      <c r="D24" s="19">
        <f t="shared" ref="D24:N24" si="8">250+50+100</f>
        <v>400</v>
      </c>
      <c r="E24" s="19">
        <f t="shared" si="8"/>
        <v>400</v>
      </c>
      <c r="F24" s="19">
        <f t="shared" si="8"/>
        <v>400</v>
      </c>
      <c r="G24" s="19">
        <f t="shared" si="8"/>
        <v>400</v>
      </c>
      <c r="H24" s="19">
        <f t="shared" si="8"/>
        <v>400</v>
      </c>
      <c r="I24" s="19">
        <f t="shared" si="8"/>
        <v>400</v>
      </c>
      <c r="J24" s="19">
        <f t="shared" si="8"/>
        <v>400</v>
      </c>
      <c r="K24" s="19">
        <f t="shared" si="8"/>
        <v>400</v>
      </c>
      <c r="L24" s="19">
        <f t="shared" si="8"/>
        <v>400</v>
      </c>
      <c r="M24" s="19">
        <f t="shared" si="8"/>
        <v>400</v>
      </c>
      <c r="N24" s="19">
        <f t="shared" si="8"/>
        <v>400</v>
      </c>
    </row>
    <row r="25" spans="1:15" x14ac:dyDescent="0.3">
      <c r="A25" s="17"/>
      <c r="B25" s="20" t="s">
        <v>99</v>
      </c>
      <c r="C25" s="82">
        <f>Table9[[#Totals],[Monthly Cost]]</f>
        <v>22500</v>
      </c>
      <c r="D25" s="82">
        <f>Table9[[#Totals],[Monthly Cost]]</f>
        <v>22500</v>
      </c>
      <c r="E25" s="82">
        <f>Table9[[#Totals],[Monthly Cost]]</f>
        <v>22500</v>
      </c>
      <c r="F25" s="82">
        <f>Table9[[#Totals],[Monthly Cost]]</f>
        <v>22500</v>
      </c>
      <c r="G25" s="82">
        <f>Table9[[#Totals],[Monthly Cost]]</f>
        <v>22500</v>
      </c>
      <c r="H25" s="82">
        <f>Table9[[#Totals],[Monthly Cost]]</f>
        <v>22500</v>
      </c>
      <c r="I25" s="82">
        <f>Table9[[#Totals],[Monthly Cost]]</f>
        <v>22500</v>
      </c>
      <c r="J25" s="82">
        <f>Table9[[#Totals],[Monthly Cost]]</f>
        <v>22500</v>
      </c>
      <c r="K25" s="82">
        <f>Table9[[#Totals],[Monthly Cost]]</f>
        <v>22500</v>
      </c>
      <c r="L25" s="82">
        <f>Table9[[#Totals],[Monthly Cost]]</f>
        <v>22500</v>
      </c>
      <c r="M25" s="82">
        <f>Table9[[#Totals],[Monthly Cost]]</f>
        <v>22500</v>
      </c>
      <c r="N25" s="82">
        <f>Table9[[#Totals],[Monthly Cost]]</f>
        <v>22500</v>
      </c>
      <c r="O25" s="81"/>
    </row>
    <row r="26" spans="1:15" x14ac:dyDescent="0.3">
      <c r="A26" s="17"/>
      <c r="B26" s="20" t="s">
        <v>8</v>
      </c>
      <c r="C26" s="19">
        <v>2300</v>
      </c>
      <c r="D26" s="19">
        <v>2300</v>
      </c>
      <c r="E26" s="19">
        <v>2300</v>
      </c>
      <c r="F26" s="19">
        <v>2300</v>
      </c>
      <c r="G26" s="19">
        <v>2300</v>
      </c>
      <c r="H26" s="19">
        <v>2300</v>
      </c>
      <c r="I26" s="19">
        <v>2300</v>
      </c>
      <c r="J26" s="19">
        <v>2300</v>
      </c>
      <c r="K26" s="19">
        <v>2300</v>
      </c>
      <c r="L26" s="19">
        <v>2300</v>
      </c>
      <c r="M26" s="19">
        <v>2300</v>
      </c>
      <c r="N26" s="19">
        <v>2300</v>
      </c>
    </row>
    <row r="27" spans="1:15" x14ac:dyDescent="0.3">
      <c r="A27" s="17"/>
      <c r="B27" s="20" t="s">
        <v>105</v>
      </c>
      <c r="C27" s="19">
        <f>C25*0.0765</f>
        <v>1721.25</v>
      </c>
      <c r="D27" s="19">
        <f t="shared" ref="D27:N27" si="9">D25*0.0765</f>
        <v>1721.25</v>
      </c>
      <c r="E27" s="19">
        <f t="shared" si="9"/>
        <v>1721.25</v>
      </c>
      <c r="F27" s="19">
        <f t="shared" si="9"/>
        <v>1721.25</v>
      </c>
      <c r="G27" s="19">
        <f t="shared" si="9"/>
        <v>1721.25</v>
      </c>
      <c r="H27" s="19">
        <f t="shared" si="9"/>
        <v>1721.25</v>
      </c>
      <c r="I27" s="19">
        <f t="shared" si="9"/>
        <v>1721.25</v>
      </c>
      <c r="J27" s="19">
        <f t="shared" si="9"/>
        <v>1721.25</v>
      </c>
      <c r="K27" s="19">
        <f t="shared" si="9"/>
        <v>1721.25</v>
      </c>
      <c r="L27" s="19">
        <f t="shared" si="9"/>
        <v>1721.25</v>
      </c>
      <c r="M27" s="19">
        <f t="shared" si="9"/>
        <v>1721.25</v>
      </c>
      <c r="N27" s="19">
        <f t="shared" si="9"/>
        <v>1721.25</v>
      </c>
    </row>
    <row r="28" spans="1:15" x14ac:dyDescent="0.3">
      <c r="A28" s="17"/>
      <c r="B28" s="20" t="s">
        <v>103</v>
      </c>
      <c r="C28" s="19">
        <f>C25*0.006</f>
        <v>135</v>
      </c>
      <c r="D28" s="19">
        <f t="shared" ref="D28:N28" si="10">D25*0.006</f>
        <v>135</v>
      </c>
      <c r="E28" s="19">
        <f t="shared" si="10"/>
        <v>135</v>
      </c>
      <c r="F28" s="19">
        <f t="shared" si="10"/>
        <v>135</v>
      </c>
      <c r="G28" s="19">
        <f t="shared" si="10"/>
        <v>135</v>
      </c>
      <c r="H28" s="19">
        <f t="shared" si="10"/>
        <v>135</v>
      </c>
      <c r="I28" s="19">
        <f t="shared" si="10"/>
        <v>135</v>
      </c>
      <c r="J28" s="19">
        <f t="shared" si="10"/>
        <v>135</v>
      </c>
      <c r="K28" s="19">
        <f t="shared" si="10"/>
        <v>135</v>
      </c>
      <c r="L28" s="19">
        <f t="shared" si="10"/>
        <v>135</v>
      </c>
      <c r="M28" s="19">
        <f t="shared" si="10"/>
        <v>135</v>
      </c>
      <c r="N28" s="19">
        <f t="shared" si="10"/>
        <v>135</v>
      </c>
    </row>
    <row r="29" spans="1:15" x14ac:dyDescent="0.3">
      <c r="A29" s="17"/>
      <c r="B29" s="20" t="s">
        <v>104</v>
      </c>
      <c r="C29" s="19">
        <f>C25*0.054</f>
        <v>1215</v>
      </c>
      <c r="D29" s="19">
        <f t="shared" ref="D29:N29" si="11">D25*0.054</f>
        <v>1215</v>
      </c>
      <c r="E29" s="19">
        <f t="shared" si="11"/>
        <v>1215</v>
      </c>
      <c r="F29" s="19">
        <f t="shared" si="11"/>
        <v>1215</v>
      </c>
      <c r="G29" s="19">
        <f t="shared" si="11"/>
        <v>1215</v>
      </c>
      <c r="H29" s="19">
        <f t="shared" si="11"/>
        <v>1215</v>
      </c>
      <c r="I29" s="19">
        <f t="shared" si="11"/>
        <v>1215</v>
      </c>
      <c r="J29" s="19">
        <f t="shared" si="11"/>
        <v>1215</v>
      </c>
      <c r="K29" s="19">
        <f t="shared" si="11"/>
        <v>1215</v>
      </c>
      <c r="L29" s="19">
        <f t="shared" si="11"/>
        <v>1215</v>
      </c>
      <c r="M29" s="19">
        <f t="shared" si="11"/>
        <v>1215</v>
      </c>
      <c r="N29" s="19">
        <f t="shared" si="11"/>
        <v>1215</v>
      </c>
    </row>
    <row r="30" spans="1:15" x14ac:dyDescent="0.3">
      <c r="A30" s="17"/>
      <c r="B30" s="27" t="s">
        <v>76</v>
      </c>
      <c r="C30" s="39">
        <f t="shared" ref="C30:N30" si="12">SUM(C10:C29)</f>
        <v>74615.916666666657</v>
      </c>
      <c r="D30" s="39">
        <f t="shared" si="12"/>
        <v>69815.916666666672</v>
      </c>
      <c r="E30" s="39">
        <f t="shared" si="12"/>
        <v>69165.916666666672</v>
      </c>
      <c r="F30" s="39">
        <f t="shared" si="12"/>
        <v>74615.916666666657</v>
      </c>
      <c r="G30" s="39">
        <f t="shared" si="12"/>
        <v>74615.916666666657</v>
      </c>
      <c r="H30" s="39">
        <f t="shared" si="12"/>
        <v>69235.916666666672</v>
      </c>
      <c r="I30" s="39">
        <f t="shared" si="12"/>
        <v>63715.916666666672</v>
      </c>
      <c r="J30" s="39">
        <f t="shared" si="12"/>
        <v>63715.916666666672</v>
      </c>
      <c r="K30" s="39">
        <f t="shared" si="12"/>
        <v>69165.916666666672</v>
      </c>
      <c r="L30" s="39">
        <f t="shared" si="12"/>
        <v>69165.916666666672</v>
      </c>
      <c r="M30" s="39">
        <f t="shared" si="12"/>
        <v>74615.916666666657</v>
      </c>
      <c r="N30" s="39">
        <f t="shared" si="12"/>
        <v>74615.916666666657</v>
      </c>
      <c r="O30" s="81"/>
    </row>
    <row r="31" spans="1:15" x14ac:dyDescent="0.3">
      <c r="A31" s="17"/>
      <c r="B31" s="17"/>
      <c r="C31" s="22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</row>
    <row r="32" spans="1:15" x14ac:dyDescent="0.3">
      <c r="A32" s="17"/>
      <c r="B32" s="28" t="s">
        <v>39</v>
      </c>
      <c r="C32" s="40">
        <f t="shared" ref="C32:N32" si="13">C8-C30</f>
        <v>15384.083333333343</v>
      </c>
      <c r="D32" s="40">
        <f t="shared" si="13"/>
        <v>8184.0833333333285</v>
      </c>
      <c r="E32" s="40">
        <f t="shared" si="13"/>
        <v>5834.0833333333285</v>
      </c>
      <c r="F32" s="40">
        <f t="shared" si="13"/>
        <v>15384.083333333343</v>
      </c>
      <c r="G32" s="40">
        <f t="shared" si="13"/>
        <v>15384.083333333343</v>
      </c>
      <c r="H32" s="40">
        <f t="shared" si="13"/>
        <v>5764.0833333333285</v>
      </c>
      <c r="I32" s="40">
        <f t="shared" si="13"/>
        <v>-3715.9166666666715</v>
      </c>
      <c r="J32" s="40">
        <f t="shared" si="13"/>
        <v>-3715.9166666666715</v>
      </c>
      <c r="K32" s="40">
        <f t="shared" si="13"/>
        <v>5834.0833333333285</v>
      </c>
      <c r="L32" s="40">
        <f t="shared" si="13"/>
        <v>5834.0833333333285</v>
      </c>
      <c r="M32" s="40">
        <f t="shared" si="13"/>
        <v>15384.083333333343</v>
      </c>
      <c r="N32" s="40">
        <f t="shared" si="13"/>
        <v>15384.083333333343</v>
      </c>
    </row>
    <row r="33" spans="1:15" x14ac:dyDescent="0.3">
      <c r="A33" s="17"/>
      <c r="B33" s="20" t="s">
        <v>106</v>
      </c>
      <c r="C33" s="19">
        <v>0</v>
      </c>
      <c r="D33" s="19">
        <v>0</v>
      </c>
      <c r="E33" s="19">
        <v>0</v>
      </c>
      <c r="F33" s="19">
        <v>0</v>
      </c>
      <c r="G33" s="19">
        <v>0</v>
      </c>
      <c r="H33" s="19">
        <v>0</v>
      </c>
      <c r="I33" s="19">
        <v>0</v>
      </c>
      <c r="J33" s="19">
        <v>0</v>
      </c>
      <c r="K33" s="19">
        <v>0</v>
      </c>
      <c r="L33" s="19">
        <f>'2022 Forecast'!C37*6%</f>
        <v>324</v>
      </c>
      <c r="M33" s="19">
        <v>0</v>
      </c>
      <c r="N33" s="19">
        <v>0</v>
      </c>
    </row>
    <row r="34" spans="1:15" x14ac:dyDescent="0.3">
      <c r="A34" s="17"/>
      <c r="B34" s="20" t="s">
        <v>86</v>
      </c>
      <c r="C34" s="19">
        <f>50000/12</f>
        <v>4166.666666666667</v>
      </c>
      <c r="D34" s="19">
        <v>0</v>
      </c>
      <c r="E34" s="19">
        <v>0</v>
      </c>
      <c r="F34" s="19">
        <v>0</v>
      </c>
      <c r="G34" s="19">
        <v>0</v>
      </c>
      <c r="H34" s="19">
        <v>0</v>
      </c>
      <c r="I34" s="19">
        <v>0</v>
      </c>
      <c r="J34" s="19">
        <v>0</v>
      </c>
      <c r="K34" s="19">
        <v>0</v>
      </c>
      <c r="L34" s="19">
        <v>0</v>
      </c>
      <c r="M34" s="19">
        <v>0</v>
      </c>
      <c r="N34" s="19">
        <v>0</v>
      </c>
    </row>
    <row r="35" spans="1:15" x14ac:dyDescent="0.3">
      <c r="A35" s="17"/>
      <c r="B35" s="20" t="s">
        <v>84</v>
      </c>
      <c r="C35" s="19">
        <v>0</v>
      </c>
      <c r="D35" s="19">
        <v>0</v>
      </c>
      <c r="E35" s="19">
        <v>0</v>
      </c>
      <c r="F35" s="19">
        <v>0</v>
      </c>
      <c r="G35" s="19">
        <v>0</v>
      </c>
      <c r="H35" s="19">
        <v>0</v>
      </c>
      <c r="I35" s="19">
        <v>0</v>
      </c>
      <c r="J35" s="19">
        <v>0</v>
      </c>
      <c r="K35" s="19">
        <v>0</v>
      </c>
      <c r="L35" s="19">
        <v>0</v>
      </c>
      <c r="M35" s="19">
        <v>0</v>
      </c>
      <c r="N35" s="19">
        <v>0</v>
      </c>
    </row>
    <row r="36" spans="1:15" x14ac:dyDescent="0.3">
      <c r="A36" s="17"/>
      <c r="B36" s="20" t="s">
        <v>124</v>
      </c>
      <c r="C36" s="19">
        <v>0</v>
      </c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</row>
    <row r="37" spans="1:15" x14ac:dyDescent="0.3">
      <c r="A37" s="17"/>
      <c r="B37" s="20" t="s">
        <v>100</v>
      </c>
      <c r="C37" s="19">
        <v>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</row>
    <row r="38" spans="1:15" x14ac:dyDescent="0.3">
      <c r="A38" s="17"/>
      <c r="B38" s="20" t="s">
        <v>101</v>
      </c>
      <c r="C38" s="19">
        <f t="shared" ref="C38:N38" si="14">Payment</f>
        <v>3000.265778734703</v>
      </c>
      <c r="D38" s="19">
        <f t="shared" si="14"/>
        <v>3000.265778734703</v>
      </c>
      <c r="E38" s="19">
        <f t="shared" si="14"/>
        <v>3000.265778734703</v>
      </c>
      <c r="F38" s="19">
        <f t="shared" si="14"/>
        <v>3000.265778734703</v>
      </c>
      <c r="G38" s="19">
        <f t="shared" si="14"/>
        <v>3000.265778734703</v>
      </c>
      <c r="H38" s="19">
        <f t="shared" si="14"/>
        <v>3000.265778734703</v>
      </c>
      <c r="I38" s="19">
        <f t="shared" si="14"/>
        <v>3000.265778734703</v>
      </c>
      <c r="J38" s="19">
        <f t="shared" si="14"/>
        <v>3000.265778734703</v>
      </c>
      <c r="K38" s="19">
        <f t="shared" si="14"/>
        <v>3000.265778734703</v>
      </c>
      <c r="L38" s="19">
        <f t="shared" si="14"/>
        <v>3000.265778734703</v>
      </c>
      <c r="M38" s="19">
        <f t="shared" si="14"/>
        <v>3000.265778734703</v>
      </c>
      <c r="N38" s="19">
        <f t="shared" si="14"/>
        <v>3000.265778734703</v>
      </c>
    </row>
    <row r="39" spans="1:15" x14ac:dyDescent="0.3">
      <c r="A39" s="17"/>
      <c r="B39" s="23" t="s">
        <v>102</v>
      </c>
      <c r="C39" s="41">
        <f t="shared" ref="C39:N39" si="15">C32-C33-C34+C35+C36-C37-C38</f>
        <v>8217.1508879319717</v>
      </c>
      <c r="D39" s="41">
        <f t="shared" si="15"/>
        <v>5183.8175545986251</v>
      </c>
      <c r="E39" s="41">
        <f t="shared" si="15"/>
        <v>2833.8175545986255</v>
      </c>
      <c r="F39" s="41">
        <f t="shared" si="15"/>
        <v>12383.81755459864</v>
      </c>
      <c r="G39" s="41">
        <f t="shared" si="15"/>
        <v>12383.81755459864</v>
      </c>
      <c r="H39" s="41">
        <f t="shared" si="15"/>
        <v>2763.8175545986255</v>
      </c>
      <c r="I39" s="41">
        <f t="shared" si="15"/>
        <v>-6716.1824454013749</v>
      </c>
      <c r="J39" s="41">
        <f t="shared" si="15"/>
        <v>-6716.1824454013749</v>
      </c>
      <c r="K39" s="41">
        <f t="shared" si="15"/>
        <v>2833.8175545986255</v>
      </c>
      <c r="L39" s="41">
        <f t="shared" si="15"/>
        <v>2509.8175545986255</v>
      </c>
      <c r="M39" s="41">
        <f t="shared" si="15"/>
        <v>12383.81755459864</v>
      </c>
      <c r="N39" s="41">
        <f t="shared" si="15"/>
        <v>12383.81755459864</v>
      </c>
    </row>
    <row r="40" spans="1:15" x14ac:dyDescent="0.3">
      <c r="A40" s="17"/>
      <c r="B40" s="17"/>
      <c r="C40" s="22"/>
      <c r="D40" s="22"/>
      <c r="E40" s="22"/>
      <c r="F40" s="22"/>
      <c r="G40" s="22"/>
      <c r="H40" s="22"/>
      <c r="I40" s="22"/>
      <c r="J40" s="22"/>
      <c r="K40" s="22"/>
      <c r="L40" s="22"/>
      <c r="M40" s="22"/>
      <c r="N40" s="22"/>
    </row>
    <row r="41" spans="1:15" x14ac:dyDescent="0.3">
      <c r="A41" s="17"/>
      <c r="B41" s="25" t="s">
        <v>79</v>
      </c>
      <c r="C41" s="29">
        <f t="shared" ref="C41:N41" si="16">C4+C39</f>
        <v>-163514.34205499449</v>
      </c>
      <c r="D41" s="29">
        <f t="shared" si="16"/>
        <v>-158330.52450039587</v>
      </c>
      <c r="E41" s="29">
        <f t="shared" si="16"/>
        <v>-155496.70694579725</v>
      </c>
      <c r="F41" s="29">
        <f t="shared" si="16"/>
        <v>-143112.88939119861</v>
      </c>
      <c r="G41" s="29">
        <f t="shared" si="16"/>
        <v>-130729.07183659996</v>
      </c>
      <c r="H41" s="29">
        <f t="shared" si="16"/>
        <v>-127965.25428200133</v>
      </c>
      <c r="I41" s="29">
        <f t="shared" si="16"/>
        <v>-134681.4367274027</v>
      </c>
      <c r="J41" s="29">
        <f t="shared" si="16"/>
        <v>-141397.61917280409</v>
      </c>
      <c r="K41" s="29">
        <f t="shared" si="16"/>
        <v>-138563.80161820547</v>
      </c>
      <c r="L41" s="29">
        <f t="shared" si="16"/>
        <v>-136053.98406360685</v>
      </c>
      <c r="M41" s="29">
        <f t="shared" si="16"/>
        <v>-123670.16650900821</v>
      </c>
      <c r="N41" s="29">
        <f t="shared" si="16"/>
        <v>-111286.34895440956</v>
      </c>
    </row>
    <row r="43" spans="1:15" x14ac:dyDescent="0.3">
      <c r="B43" s="72" t="s">
        <v>125</v>
      </c>
      <c r="C43" s="73">
        <f t="shared" ref="C43:N43" si="17">C32/C6</f>
        <v>2.352306320081551E-2</v>
      </c>
      <c r="D43" s="73">
        <f t="shared" si="17"/>
        <v>1.4934458637469578E-2</v>
      </c>
      <c r="E43" s="73">
        <f t="shared" si="17"/>
        <v>1.0704740061162071E-2</v>
      </c>
      <c r="F43" s="73">
        <f t="shared" si="17"/>
        <v>2.352306320081551E-2</v>
      </c>
      <c r="G43" s="73">
        <f t="shared" si="17"/>
        <v>2.352306320081551E-2</v>
      </c>
      <c r="H43" s="73">
        <f t="shared" si="17"/>
        <v>1.0576299694189594E-2</v>
      </c>
      <c r="I43" s="73">
        <f t="shared" si="17"/>
        <v>-8.5227446483180543E-3</v>
      </c>
      <c r="J43" s="73">
        <f t="shared" si="17"/>
        <v>-8.5227446483180543E-3</v>
      </c>
      <c r="K43" s="73">
        <f t="shared" si="17"/>
        <v>1.0704740061162071E-2</v>
      </c>
      <c r="L43" s="73">
        <f t="shared" si="17"/>
        <v>1.0704740061162071E-2</v>
      </c>
      <c r="M43" s="73">
        <f t="shared" si="17"/>
        <v>2.352306320081551E-2</v>
      </c>
      <c r="N43" s="73">
        <f t="shared" si="17"/>
        <v>2.352306320081551E-2</v>
      </c>
    </row>
    <row r="44" spans="1:15" x14ac:dyDescent="0.3">
      <c r="B44" s="72" t="s">
        <v>169</v>
      </c>
      <c r="C44" s="75">
        <f>C39/C38</f>
        <v>2.7388076570327637</v>
      </c>
      <c r="D44" s="75">
        <f t="shared" ref="D44:N44" si="18">D32/D38</f>
        <v>2.7277861152636911</v>
      </c>
      <c r="E44" s="75">
        <f t="shared" si="18"/>
        <v>1.944522173563479</v>
      </c>
      <c r="F44" s="75">
        <f t="shared" si="18"/>
        <v>5.1275735111111542</v>
      </c>
      <c r="G44" s="75">
        <f t="shared" si="18"/>
        <v>5.1275735111111542</v>
      </c>
      <c r="H44" s="75">
        <f t="shared" si="18"/>
        <v>1.921190907214962</v>
      </c>
      <c r="I44" s="75">
        <f t="shared" si="18"/>
        <v>-1.2385291639841918</v>
      </c>
      <c r="J44" s="75">
        <f t="shared" si="18"/>
        <v>-1.2385291639841918</v>
      </c>
      <c r="K44" s="75">
        <f t="shared" si="18"/>
        <v>1.944522173563479</v>
      </c>
      <c r="L44" s="75">
        <f t="shared" si="18"/>
        <v>1.944522173563479</v>
      </c>
      <c r="M44" s="75">
        <f t="shared" si="18"/>
        <v>5.1275735111111542</v>
      </c>
      <c r="N44" s="75">
        <f t="shared" si="18"/>
        <v>5.1275735111111542</v>
      </c>
      <c r="O44" s="154">
        <f>AVERAGE(C44:N44)</f>
        <v>2.604548909723174</v>
      </c>
    </row>
  </sheetData>
  <mergeCells count="2">
    <mergeCell ref="A1:N1"/>
    <mergeCell ref="A2:N2"/>
  </mergeCells>
  <pageMargins left="0.7" right="0.7" top="0.75" bottom="0.75" header="0.3" footer="0.3"/>
  <pageSetup scale="52" orientation="landscape" horizontalDpi="4294967293" verticalDpi="4294967293" r:id="rId1"/>
  <legacy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7"/>
  </sheetPr>
  <dimension ref="A1:N45"/>
  <sheetViews>
    <sheetView topLeftCell="A2" zoomScaleNormal="100" zoomScalePageLayoutView="91" workbookViewId="0">
      <selection activeCell="F12" sqref="F12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4" width="13.109375" customWidth="1"/>
  </cols>
  <sheetData>
    <row r="1" spans="1:14" ht="23.4" hidden="1" x14ac:dyDescent="0.45">
      <c r="A1" s="141">
        <f>Transactions!A1:H1</f>
        <v>0</v>
      </c>
      <c r="B1" s="142"/>
      <c r="C1" s="142"/>
      <c r="D1" s="142"/>
      <c r="E1" s="142"/>
      <c r="F1" s="142"/>
      <c r="G1" s="142"/>
      <c r="H1" s="142"/>
      <c r="I1" s="142"/>
      <c r="J1" s="142"/>
      <c r="K1" s="142"/>
      <c r="L1" s="142"/>
      <c r="M1" s="142"/>
      <c r="N1" s="142"/>
    </row>
    <row r="2" spans="1:14" ht="23.4" x14ac:dyDescent="0.45">
      <c r="A2" s="142" t="s">
        <v>107</v>
      </c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</row>
    <row r="3" spans="1:14" x14ac:dyDescent="0.3">
      <c r="A3" s="17"/>
      <c r="B3" s="17"/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4" x14ac:dyDescent="0.3">
      <c r="A4" s="17"/>
      <c r="B4" s="25" t="s">
        <v>78</v>
      </c>
      <c r="C4" s="26" t="e">
        <f>#REF!</f>
        <v>#REF!</v>
      </c>
      <c r="D4" s="26" t="e">
        <f>C42</f>
        <v>#REF!</v>
      </c>
      <c r="E4" s="26" t="e">
        <f t="shared" ref="E4:N4" si="0">D42</f>
        <v>#REF!</v>
      </c>
      <c r="F4" s="26" t="e">
        <f t="shared" si="0"/>
        <v>#REF!</v>
      </c>
      <c r="G4" s="26" t="e">
        <f t="shared" si="0"/>
        <v>#REF!</v>
      </c>
      <c r="H4" s="26" t="e">
        <f t="shared" si="0"/>
        <v>#REF!</v>
      </c>
      <c r="I4" s="26" t="e">
        <f t="shared" si="0"/>
        <v>#REF!</v>
      </c>
      <c r="J4" s="26" t="e">
        <f t="shared" si="0"/>
        <v>#REF!</v>
      </c>
      <c r="K4" s="26" t="e">
        <f t="shared" si="0"/>
        <v>#REF!</v>
      </c>
      <c r="L4" s="26" t="e">
        <f t="shared" si="0"/>
        <v>#REF!</v>
      </c>
      <c r="M4" s="26" t="e">
        <f t="shared" si="0"/>
        <v>#REF!</v>
      </c>
      <c r="N4" s="26" t="e">
        <f t="shared" si="0"/>
        <v>#REF!</v>
      </c>
    </row>
    <row r="5" spans="1:14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</row>
    <row r="6" spans="1:14" x14ac:dyDescent="0.3">
      <c r="A6" s="17"/>
      <c r="B6" s="30" t="s">
        <v>74</v>
      </c>
      <c r="C6" s="24">
        <v>0</v>
      </c>
      <c r="D6" s="24">
        <v>0</v>
      </c>
      <c r="E6" s="24">
        <v>0</v>
      </c>
      <c r="F6" s="24">
        <v>0</v>
      </c>
      <c r="G6" s="24">
        <v>0</v>
      </c>
      <c r="H6" s="24">
        <v>0</v>
      </c>
      <c r="I6" s="24">
        <v>0</v>
      </c>
      <c r="J6" s="24">
        <v>0</v>
      </c>
      <c r="K6" s="24">
        <v>0</v>
      </c>
      <c r="L6" s="24">
        <v>0</v>
      </c>
      <c r="M6" s="24">
        <v>0</v>
      </c>
      <c r="N6" s="24">
        <v>0</v>
      </c>
    </row>
    <row r="7" spans="1:14" x14ac:dyDescent="0.3">
      <c r="A7" s="17"/>
      <c r="B7" s="30" t="s">
        <v>73</v>
      </c>
      <c r="C7" s="24">
        <v>0</v>
      </c>
      <c r="D7" s="24">
        <v>0</v>
      </c>
      <c r="E7" s="24">
        <v>0</v>
      </c>
      <c r="F7" s="24">
        <v>0</v>
      </c>
      <c r="G7" s="24">
        <v>0</v>
      </c>
      <c r="H7" s="24">
        <v>0</v>
      </c>
      <c r="I7" s="24">
        <v>0</v>
      </c>
      <c r="J7" s="24">
        <v>0</v>
      </c>
      <c r="K7" s="24">
        <v>0</v>
      </c>
      <c r="L7" s="24">
        <v>0</v>
      </c>
      <c r="M7" s="24">
        <v>0</v>
      </c>
      <c r="N7" s="24">
        <v>0</v>
      </c>
    </row>
    <row r="8" spans="1:14" x14ac:dyDescent="0.3">
      <c r="A8" s="17"/>
      <c r="B8" s="23" t="s">
        <v>75</v>
      </c>
      <c r="C8" s="31">
        <f t="shared" ref="C8:N8" si="1">C6-C7</f>
        <v>0</v>
      </c>
      <c r="D8" s="31">
        <f t="shared" si="1"/>
        <v>0</v>
      </c>
      <c r="E8" s="31">
        <f t="shared" si="1"/>
        <v>0</v>
      </c>
      <c r="F8" s="31">
        <f t="shared" si="1"/>
        <v>0</v>
      </c>
      <c r="G8" s="31">
        <f t="shared" si="1"/>
        <v>0</v>
      </c>
      <c r="H8" s="31">
        <f t="shared" si="1"/>
        <v>0</v>
      </c>
      <c r="I8" s="31">
        <f t="shared" si="1"/>
        <v>0</v>
      </c>
      <c r="J8" s="31">
        <f t="shared" si="1"/>
        <v>0</v>
      </c>
      <c r="K8" s="31">
        <f t="shared" si="1"/>
        <v>0</v>
      </c>
      <c r="L8" s="31">
        <f t="shared" si="1"/>
        <v>0</v>
      </c>
      <c r="M8" s="31">
        <f t="shared" si="1"/>
        <v>0</v>
      </c>
      <c r="N8" s="31">
        <f t="shared" si="1"/>
        <v>0</v>
      </c>
    </row>
    <row r="9" spans="1:14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</row>
    <row r="10" spans="1:14" x14ac:dyDescent="0.3">
      <c r="A10" s="17"/>
      <c r="B10" s="20" t="s">
        <v>4</v>
      </c>
      <c r="C10" s="19">
        <v>0</v>
      </c>
      <c r="D10" s="19">
        <v>0</v>
      </c>
      <c r="E10" s="19">
        <v>0</v>
      </c>
      <c r="F10" s="19">
        <v>0</v>
      </c>
      <c r="G10" s="19">
        <v>0</v>
      </c>
      <c r="H10" s="19">
        <v>0</v>
      </c>
      <c r="I10" s="19">
        <v>0</v>
      </c>
      <c r="J10" s="19">
        <v>0</v>
      </c>
      <c r="K10" s="19">
        <v>0</v>
      </c>
      <c r="L10" s="19">
        <v>0</v>
      </c>
      <c r="M10" s="19">
        <v>0</v>
      </c>
      <c r="N10" s="19">
        <v>0</v>
      </c>
    </row>
    <row r="11" spans="1:14" x14ac:dyDescent="0.3">
      <c r="A11" s="17"/>
      <c r="B11" s="20" t="s">
        <v>17</v>
      </c>
      <c r="C11" s="19">
        <v>0</v>
      </c>
      <c r="D11" s="19">
        <v>0</v>
      </c>
      <c r="E11" s="19">
        <v>0</v>
      </c>
      <c r="F11" s="19">
        <v>0</v>
      </c>
      <c r="G11" s="19">
        <v>0</v>
      </c>
      <c r="H11" s="19">
        <v>0</v>
      </c>
      <c r="I11" s="19">
        <v>0</v>
      </c>
      <c r="J11" s="19">
        <v>0</v>
      </c>
      <c r="K11" s="19">
        <v>0</v>
      </c>
      <c r="L11" s="19">
        <v>0</v>
      </c>
      <c r="M11" s="19">
        <v>0</v>
      </c>
      <c r="N11" s="19">
        <v>0</v>
      </c>
    </row>
    <row r="12" spans="1:14" x14ac:dyDescent="0.3">
      <c r="A12" s="17"/>
      <c r="B12" s="20" t="s">
        <v>18</v>
      </c>
      <c r="C12" s="19">
        <v>0</v>
      </c>
      <c r="D12" s="19">
        <v>0</v>
      </c>
      <c r="E12" s="19">
        <v>0</v>
      </c>
      <c r="F12" s="19">
        <v>0</v>
      </c>
      <c r="G12" s="19">
        <v>0</v>
      </c>
      <c r="H12" s="19">
        <v>0</v>
      </c>
      <c r="I12" s="19">
        <v>0</v>
      </c>
      <c r="J12" s="19">
        <v>0</v>
      </c>
      <c r="K12" s="19">
        <v>0</v>
      </c>
      <c r="L12" s="19">
        <v>0</v>
      </c>
      <c r="M12" s="19">
        <v>0</v>
      </c>
      <c r="N12" s="19">
        <v>0</v>
      </c>
    </row>
    <row r="13" spans="1:14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</row>
    <row r="14" spans="1:14" x14ac:dyDescent="0.3">
      <c r="A14" s="17"/>
      <c r="B14" s="20" t="s">
        <v>21</v>
      </c>
      <c r="C14" s="19">
        <v>0</v>
      </c>
      <c r="D14" s="19">
        <v>0</v>
      </c>
      <c r="E14" s="19">
        <v>0</v>
      </c>
      <c r="F14" s="19">
        <v>0</v>
      </c>
      <c r="G14" s="19">
        <v>0</v>
      </c>
      <c r="H14" s="19">
        <v>0</v>
      </c>
      <c r="I14" s="19">
        <v>0</v>
      </c>
      <c r="J14" s="19">
        <v>0</v>
      </c>
      <c r="K14" s="19">
        <v>0</v>
      </c>
      <c r="L14" s="19">
        <v>0</v>
      </c>
      <c r="M14" s="19">
        <v>0</v>
      </c>
      <c r="N14" s="19">
        <v>0</v>
      </c>
    </row>
    <row r="15" spans="1:14" x14ac:dyDescent="0.3">
      <c r="A15" s="17"/>
      <c r="B15" s="20" t="s">
        <v>22</v>
      </c>
      <c r="C15" s="19">
        <v>0</v>
      </c>
      <c r="D15" s="19">
        <v>0</v>
      </c>
      <c r="E15" s="19">
        <v>0</v>
      </c>
      <c r="F15" s="19">
        <v>0</v>
      </c>
      <c r="G15" s="19">
        <v>0</v>
      </c>
      <c r="H15" s="19">
        <v>0</v>
      </c>
      <c r="I15" s="19">
        <v>0</v>
      </c>
      <c r="J15" s="19">
        <v>0</v>
      </c>
      <c r="K15" s="19">
        <v>0</v>
      </c>
      <c r="L15" s="19">
        <v>0</v>
      </c>
      <c r="M15" s="19">
        <v>0</v>
      </c>
      <c r="N15" s="19">
        <v>0</v>
      </c>
    </row>
    <row r="16" spans="1:14" x14ac:dyDescent="0.3">
      <c r="A16" s="17"/>
      <c r="B16" s="20" t="s">
        <v>25</v>
      </c>
      <c r="C16" s="19">
        <v>0</v>
      </c>
      <c r="D16" s="19">
        <v>0</v>
      </c>
      <c r="E16" s="19">
        <v>0</v>
      </c>
      <c r="F16" s="19">
        <v>0</v>
      </c>
      <c r="G16" s="19">
        <v>0</v>
      </c>
      <c r="H16" s="19">
        <v>0</v>
      </c>
      <c r="I16" s="19">
        <v>0</v>
      </c>
      <c r="J16" s="19">
        <v>0</v>
      </c>
      <c r="K16" s="19">
        <v>0</v>
      </c>
      <c r="L16" s="19">
        <v>0</v>
      </c>
      <c r="M16" s="19">
        <v>0</v>
      </c>
      <c r="N16" s="19">
        <v>0</v>
      </c>
    </row>
    <row r="17" spans="1:14" x14ac:dyDescent="0.3">
      <c r="A17" s="17"/>
      <c r="B17" s="20" t="s">
        <v>26</v>
      </c>
      <c r="C17" s="19">
        <v>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0</v>
      </c>
      <c r="N17" s="19">
        <v>0</v>
      </c>
    </row>
    <row r="18" spans="1:14" x14ac:dyDescent="0.3">
      <c r="A18" s="17"/>
      <c r="B18" s="21" t="s">
        <v>96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</row>
    <row r="19" spans="1:14" x14ac:dyDescent="0.3">
      <c r="A19" s="17"/>
      <c r="B19" s="21" t="s">
        <v>97</v>
      </c>
      <c r="C19" s="19">
        <v>0</v>
      </c>
      <c r="D19" s="19">
        <v>0</v>
      </c>
      <c r="E19" s="19">
        <v>0</v>
      </c>
      <c r="F19" s="19">
        <v>0</v>
      </c>
      <c r="G19" s="19">
        <v>0</v>
      </c>
      <c r="H19" s="19">
        <v>0</v>
      </c>
      <c r="I19" s="19">
        <v>0</v>
      </c>
      <c r="J19" s="19">
        <v>0</v>
      </c>
      <c r="K19" s="19">
        <v>0</v>
      </c>
      <c r="L19" s="19">
        <v>0</v>
      </c>
      <c r="M19" s="19">
        <v>0</v>
      </c>
      <c r="N19" s="19">
        <v>0</v>
      </c>
    </row>
    <row r="20" spans="1:14" x14ac:dyDescent="0.3">
      <c r="A20" s="17"/>
      <c r="B20" s="20" t="s">
        <v>31</v>
      </c>
      <c r="C20" s="19">
        <v>0</v>
      </c>
      <c r="D20" s="19">
        <v>0</v>
      </c>
      <c r="E20" s="19">
        <v>0</v>
      </c>
      <c r="F20" s="19">
        <v>0</v>
      </c>
      <c r="G20" s="19">
        <v>0</v>
      </c>
      <c r="H20" s="19">
        <v>0</v>
      </c>
      <c r="I20" s="19">
        <v>0</v>
      </c>
      <c r="J20" s="19">
        <v>0</v>
      </c>
      <c r="K20" s="19">
        <v>0</v>
      </c>
      <c r="L20" s="19">
        <v>0</v>
      </c>
      <c r="M20" s="19">
        <v>0</v>
      </c>
      <c r="N20" s="19">
        <v>0</v>
      </c>
    </row>
    <row r="21" spans="1:14" x14ac:dyDescent="0.3">
      <c r="A21" s="17"/>
      <c r="B21" s="20" t="s">
        <v>3</v>
      </c>
      <c r="C21" s="19">
        <v>0</v>
      </c>
      <c r="D21" s="19">
        <v>0</v>
      </c>
      <c r="E21" s="19">
        <v>0</v>
      </c>
      <c r="F21" s="19">
        <v>0</v>
      </c>
      <c r="G21" s="19">
        <v>0</v>
      </c>
      <c r="H21" s="19">
        <v>0</v>
      </c>
      <c r="I21" s="19">
        <v>0</v>
      </c>
      <c r="J21" s="19">
        <v>0</v>
      </c>
      <c r="K21" s="19">
        <v>0</v>
      </c>
      <c r="L21" s="19">
        <v>0</v>
      </c>
      <c r="M21" s="19">
        <v>0</v>
      </c>
      <c r="N21" s="19">
        <v>0</v>
      </c>
    </row>
    <row r="22" spans="1:14" x14ac:dyDescent="0.3">
      <c r="A22" s="17"/>
      <c r="B22" s="20" t="s">
        <v>98</v>
      </c>
      <c r="C22" s="19">
        <v>0</v>
      </c>
      <c r="D22" s="19">
        <v>0</v>
      </c>
      <c r="E22" s="19">
        <v>0</v>
      </c>
      <c r="F22" s="19">
        <v>0</v>
      </c>
      <c r="G22" s="19">
        <v>0</v>
      </c>
      <c r="H22" s="19">
        <v>0</v>
      </c>
      <c r="I22" s="19">
        <v>0</v>
      </c>
      <c r="J22" s="19">
        <v>0</v>
      </c>
      <c r="K22" s="19">
        <v>0</v>
      </c>
      <c r="L22" s="19">
        <v>0</v>
      </c>
      <c r="M22" s="19">
        <v>0</v>
      </c>
      <c r="N22" s="19">
        <v>0</v>
      </c>
    </row>
    <row r="23" spans="1:14" x14ac:dyDescent="0.3">
      <c r="A23" s="17"/>
      <c r="B23" s="21" t="s">
        <v>32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</row>
    <row r="24" spans="1:14" x14ac:dyDescent="0.3">
      <c r="A24" s="17"/>
      <c r="B24" s="21" t="s">
        <v>33</v>
      </c>
      <c r="C24" s="19">
        <v>0</v>
      </c>
      <c r="D24" s="19">
        <v>0</v>
      </c>
      <c r="E24" s="19">
        <v>0</v>
      </c>
      <c r="F24" s="19">
        <v>0</v>
      </c>
      <c r="G24" s="19">
        <v>0</v>
      </c>
      <c r="H24" s="19">
        <v>0</v>
      </c>
      <c r="I24" s="19">
        <v>0</v>
      </c>
      <c r="J24" s="19">
        <v>0</v>
      </c>
      <c r="K24" s="19">
        <v>0</v>
      </c>
      <c r="L24" s="19">
        <v>0</v>
      </c>
      <c r="M24" s="19">
        <v>0</v>
      </c>
      <c r="N24" s="19">
        <v>0</v>
      </c>
    </row>
    <row r="25" spans="1:14" x14ac:dyDescent="0.3">
      <c r="A25" s="17"/>
      <c r="B25" s="20" t="s">
        <v>34</v>
      </c>
      <c r="C25" s="19">
        <v>0</v>
      </c>
      <c r="D25" s="19">
        <v>0</v>
      </c>
      <c r="E25" s="19">
        <v>0</v>
      </c>
      <c r="F25" s="19">
        <v>0</v>
      </c>
      <c r="G25" s="19">
        <v>0</v>
      </c>
      <c r="H25" s="19">
        <v>0</v>
      </c>
      <c r="I25" s="19">
        <v>0</v>
      </c>
      <c r="J25" s="19">
        <v>0</v>
      </c>
      <c r="K25" s="19">
        <v>0</v>
      </c>
      <c r="L25" s="19">
        <v>0</v>
      </c>
      <c r="M25" s="19">
        <v>0</v>
      </c>
      <c r="N25" s="19">
        <v>0</v>
      </c>
    </row>
    <row r="26" spans="1:14" x14ac:dyDescent="0.3">
      <c r="A26" s="17"/>
      <c r="B26" s="20" t="s">
        <v>99</v>
      </c>
      <c r="C26" s="19">
        <v>0</v>
      </c>
      <c r="D26" s="19">
        <v>0</v>
      </c>
      <c r="E26" s="19">
        <v>0</v>
      </c>
      <c r="F26" s="19">
        <v>0</v>
      </c>
      <c r="G26" s="19">
        <v>0</v>
      </c>
      <c r="H26" s="19">
        <v>0</v>
      </c>
      <c r="I26" s="19">
        <v>0</v>
      </c>
      <c r="J26" s="19">
        <v>0</v>
      </c>
      <c r="K26" s="19">
        <v>0</v>
      </c>
      <c r="L26" s="19">
        <v>0</v>
      </c>
      <c r="M26" s="19">
        <v>0</v>
      </c>
      <c r="N26" s="19">
        <v>0</v>
      </c>
    </row>
    <row r="27" spans="1:14" x14ac:dyDescent="0.3">
      <c r="A27" s="17"/>
      <c r="B27" s="20" t="s">
        <v>8</v>
      </c>
      <c r="C27" s="19">
        <v>0</v>
      </c>
      <c r="D27" s="19">
        <v>0</v>
      </c>
      <c r="E27" s="19">
        <v>0</v>
      </c>
      <c r="F27" s="19">
        <v>0</v>
      </c>
      <c r="G27" s="19">
        <v>0</v>
      </c>
      <c r="H27" s="19">
        <v>0</v>
      </c>
      <c r="I27" s="19">
        <v>0</v>
      </c>
      <c r="J27" s="19">
        <v>0</v>
      </c>
      <c r="K27" s="19">
        <v>0</v>
      </c>
      <c r="L27" s="19">
        <v>0</v>
      </c>
      <c r="M27" s="19">
        <v>0</v>
      </c>
      <c r="N27" s="19">
        <v>0</v>
      </c>
    </row>
    <row r="28" spans="1:14" x14ac:dyDescent="0.3">
      <c r="A28" s="17"/>
      <c r="B28" s="20" t="s">
        <v>105</v>
      </c>
      <c r="C28" s="19">
        <f t="shared" ref="C28:N28" si="2">C26*0.0765</f>
        <v>0</v>
      </c>
      <c r="D28" s="19">
        <f t="shared" si="2"/>
        <v>0</v>
      </c>
      <c r="E28" s="19">
        <f t="shared" si="2"/>
        <v>0</v>
      </c>
      <c r="F28" s="19">
        <f t="shared" si="2"/>
        <v>0</v>
      </c>
      <c r="G28" s="19">
        <f t="shared" si="2"/>
        <v>0</v>
      </c>
      <c r="H28" s="19">
        <f t="shared" si="2"/>
        <v>0</v>
      </c>
      <c r="I28" s="19">
        <f t="shared" si="2"/>
        <v>0</v>
      </c>
      <c r="J28" s="19">
        <f t="shared" si="2"/>
        <v>0</v>
      </c>
      <c r="K28" s="19">
        <f t="shared" si="2"/>
        <v>0</v>
      </c>
      <c r="L28" s="19">
        <f t="shared" si="2"/>
        <v>0</v>
      </c>
      <c r="M28" s="19">
        <f t="shared" si="2"/>
        <v>0</v>
      </c>
      <c r="N28" s="19">
        <f t="shared" si="2"/>
        <v>0</v>
      </c>
    </row>
    <row r="29" spans="1:14" x14ac:dyDescent="0.3">
      <c r="A29" s="17"/>
      <c r="B29" s="20" t="s">
        <v>103</v>
      </c>
      <c r="C29" s="19">
        <v>0</v>
      </c>
      <c r="D29" s="19">
        <v>0</v>
      </c>
      <c r="E29" s="19">
        <v>0</v>
      </c>
      <c r="F29" s="19">
        <v>0</v>
      </c>
      <c r="G29" s="19">
        <v>0</v>
      </c>
      <c r="H29" s="19">
        <v>0</v>
      </c>
      <c r="I29" s="19">
        <v>0</v>
      </c>
      <c r="J29" s="19">
        <v>0</v>
      </c>
      <c r="K29" s="19">
        <v>0</v>
      </c>
      <c r="L29" s="19">
        <v>0</v>
      </c>
      <c r="M29" s="19">
        <v>0</v>
      </c>
      <c r="N29" s="19">
        <v>0</v>
      </c>
    </row>
    <row r="30" spans="1:14" x14ac:dyDescent="0.3">
      <c r="A30" s="17"/>
      <c r="B30" s="20" t="s">
        <v>104</v>
      </c>
      <c r="C30" s="19">
        <v>0</v>
      </c>
      <c r="D30" s="19">
        <v>0</v>
      </c>
      <c r="E30" s="19">
        <v>0</v>
      </c>
      <c r="F30" s="19">
        <v>0</v>
      </c>
      <c r="G30" s="19">
        <v>0</v>
      </c>
      <c r="H30" s="19">
        <v>0</v>
      </c>
      <c r="I30" s="19">
        <v>0</v>
      </c>
      <c r="J30" s="19">
        <v>0</v>
      </c>
      <c r="K30" s="19">
        <v>0</v>
      </c>
      <c r="L30" s="19">
        <v>0</v>
      </c>
      <c r="M30" s="19">
        <v>0</v>
      </c>
      <c r="N30" s="19">
        <v>0</v>
      </c>
    </row>
    <row r="31" spans="1:14" x14ac:dyDescent="0.3">
      <c r="A31" s="17"/>
      <c r="B31" s="27" t="s">
        <v>76</v>
      </c>
      <c r="C31" s="39">
        <f t="shared" ref="C31:N31" si="3">SUM(C10:C30)</f>
        <v>0</v>
      </c>
      <c r="D31" s="39">
        <f t="shared" si="3"/>
        <v>0</v>
      </c>
      <c r="E31" s="39">
        <f t="shared" si="3"/>
        <v>0</v>
      </c>
      <c r="F31" s="39">
        <f t="shared" si="3"/>
        <v>0</v>
      </c>
      <c r="G31" s="39">
        <f t="shared" si="3"/>
        <v>0</v>
      </c>
      <c r="H31" s="39">
        <f t="shared" si="3"/>
        <v>0</v>
      </c>
      <c r="I31" s="39">
        <f t="shared" si="3"/>
        <v>0</v>
      </c>
      <c r="J31" s="39">
        <f t="shared" si="3"/>
        <v>0</v>
      </c>
      <c r="K31" s="39">
        <f t="shared" si="3"/>
        <v>0</v>
      </c>
      <c r="L31" s="39">
        <f t="shared" si="3"/>
        <v>0</v>
      </c>
      <c r="M31" s="39">
        <f t="shared" si="3"/>
        <v>0</v>
      </c>
      <c r="N31" s="39">
        <f t="shared" si="3"/>
        <v>0</v>
      </c>
    </row>
    <row r="32" spans="1:14" x14ac:dyDescent="0.3">
      <c r="A32" s="17"/>
      <c r="B32" s="17"/>
      <c r="C32" s="22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</row>
    <row r="33" spans="1:14" x14ac:dyDescent="0.3">
      <c r="A33" s="17"/>
      <c r="B33" s="28" t="s">
        <v>39</v>
      </c>
      <c r="C33" s="40">
        <f t="shared" ref="C33:N33" si="4">C8-C31</f>
        <v>0</v>
      </c>
      <c r="D33" s="40">
        <f t="shared" si="4"/>
        <v>0</v>
      </c>
      <c r="E33" s="40">
        <f t="shared" si="4"/>
        <v>0</v>
      </c>
      <c r="F33" s="40">
        <f t="shared" si="4"/>
        <v>0</v>
      </c>
      <c r="G33" s="40">
        <f t="shared" si="4"/>
        <v>0</v>
      </c>
      <c r="H33" s="40">
        <f t="shared" si="4"/>
        <v>0</v>
      </c>
      <c r="I33" s="40">
        <f t="shared" si="4"/>
        <v>0</v>
      </c>
      <c r="J33" s="40">
        <f t="shared" si="4"/>
        <v>0</v>
      </c>
      <c r="K33" s="40">
        <f t="shared" si="4"/>
        <v>0</v>
      </c>
      <c r="L33" s="40">
        <f t="shared" si="4"/>
        <v>0</v>
      </c>
      <c r="M33" s="40">
        <f t="shared" si="4"/>
        <v>0</v>
      </c>
      <c r="N33" s="40">
        <f t="shared" si="4"/>
        <v>0</v>
      </c>
    </row>
    <row r="34" spans="1:14" x14ac:dyDescent="0.3">
      <c r="A34" s="17"/>
      <c r="B34" s="20" t="s">
        <v>106</v>
      </c>
      <c r="C34" s="19">
        <v>0</v>
      </c>
      <c r="D34" s="19">
        <v>0</v>
      </c>
      <c r="E34" s="19">
        <v>0</v>
      </c>
      <c r="F34" s="19">
        <v>0</v>
      </c>
      <c r="G34" s="19">
        <v>0</v>
      </c>
      <c r="H34" s="19">
        <v>0</v>
      </c>
      <c r="I34" s="19">
        <v>0</v>
      </c>
      <c r="J34" s="19">
        <v>0</v>
      </c>
      <c r="K34" s="19">
        <v>0</v>
      </c>
      <c r="L34" s="19">
        <v>0</v>
      </c>
      <c r="M34" s="19">
        <v>0</v>
      </c>
      <c r="N34" s="19">
        <v>0</v>
      </c>
    </row>
    <row r="35" spans="1:14" x14ac:dyDescent="0.3">
      <c r="A35" s="17"/>
      <c r="B35" s="20" t="s">
        <v>86</v>
      </c>
      <c r="C35" s="19">
        <v>0</v>
      </c>
      <c r="D35" s="19">
        <v>0</v>
      </c>
      <c r="E35" s="19">
        <v>0</v>
      </c>
      <c r="F35" s="19">
        <v>0</v>
      </c>
      <c r="G35" s="19">
        <v>0</v>
      </c>
      <c r="H35" s="19">
        <v>0</v>
      </c>
      <c r="I35" s="19">
        <v>0</v>
      </c>
      <c r="J35" s="19">
        <v>0</v>
      </c>
      <c r="K35" s="19">
        <v>0</v>
      </c>
      <c r="L35" s="19">
        <v>0</v>
      </c>
      <c r="M35" s="19">
        <v>0</v>
      </c>
      <c r="N35" s="19">
        <v>0</v>
      </c>
    </row>
    <row r="36" spans="1:14" x14ac:dyDescent="0.3">
      <c r="A36" s="17"/>
      <c r="B36" s="20" t="s">
        <v>84</v>
      </c>
      <c r="C36" s="19">
        <v>0</v>
      </c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</row>
    <row r="37" spans="1:14" x14ac:dyDescent="0.3">
      <c r="A37" s="17"/>
      <c r="B37" s="20" t="s">
        <v>124</v>
      </c>
      <c r="C37" s="19">
        <v>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</row>
    <row r="38" spans="1:14" x14ac:dyDescent="0.3">
      <c r="A38" s="17"/>
      <c r="B38" s="20" t="s">
        <v>100</v>
      </c>
      <c r="C38" s="19">
        <v>0</v>
      </c>
      <c r="D38" s="19">
        <v>0</v>
      </c>
      <c r="E38" s="19">
        <v>0</v>
      </c>
      <c r="F38" s="19">
        <v>0</v>
      </c>
      <c r="G38" s="19">
        <v>0</v>
      </c>
      <c r="H38" s="19">
        <v>0</v>
      </c>
      <c r="I38" s="19">
        <v>0</v>
      </c>
      <c r="J38" s="19">
        <v>0</v>
      </c>
      <c r="K38" s="19">
        <v>0</v>
      </c>
      <c r="L38" s="19">
        <v>0</v>
      </c>
      <c r="M38" s="19">
        <v>0</v>
      </c>
      <c r="N38" s="19">
        <v>0</v>
      </c>
    </row>
    <row r="39" spans="1:14" x14ac:dyDescent="0.3">
      <c r="A39" s="17"/>
      <c r="B39" s="20" t="s">
        <v>101</v>
      </c>
      <c r="C39" s="19">
        <f t="shared" ref="C39:N39" si="5">Payment</f>
        <v>3000.265778734703</v>
      </c>
      <c r="D39" s="19">
        <f t="shared" si="5"/>
        <v>3000.265778734703</v>
      </c>
      <c r="E39" s="19">
        <f t="shared" si="5"/>
        <v>3000.265778734703</v>
      </c>
      <c r="F39" s="19">
        <f t="shared" si="5"/>
        <v>3000.265778734703</v>
      </c>
      <c r="G39" s="19">
        <f t="shared" si="5"/>
        <v>3000.265778734703</v>
      </c>
      <c r="H39" s="19">
        <f t="shared" si="5"/>
        <v>3000.265778734703</v>
      </c>
      <c r="I39" s="19">
        <f t="shared" si="5"/>
        <v>3000.265778734703</v>
      </c>
      <c r="J39" s="19">
        <f t="shared" si="5"/>
        <v>3000.265778734703</v>
      </c>
      <c r="K39" s="19">
        <f t="shared" si="5"/>
        <v>3000.265778734703</v>
      </c>
      <c r="L39" s="19">
        <f t="shared" si="5"/>
        <v>3000.265778734703</v>
      </c>
      <c r="M39" s="19">
        <f t="shared" si="5"/>
        <v>3000.265778734703</v>
      </c>
      <c r="N39" s="19">
        <f t="shared" si="5"/>
        <v>3000.265778734703</v>
      </c>
    </row>
    <row r="40" spans="1:14" x14ac:dyDescent="0.3">
      <c r="A40" s="17"/>
      <c r="B40" s="23" t="s">
        <v>102</v>
      </c>
      <c r="C40" s="41">
        <f>C33-C34-C35+C36+C37-C38-C39</f>
        <v>-3000.265778734703</v>
      </c>
      <c r="D40" s="41">
        <f t="shared" ref="D40:N40" si="6">D33-D34-D35+D36+D37-D38-D39</f>
        <v>-3000.265778734703</v>
      </c>
      <c r="E40" s="41">
        <f t="shared" si="6"/>
        <v>-3000.265778734703</v>
      </c>
      <c r="F40" s="41">
        <f t="shared" si="6"/>
        <v>-3000.265778734703</v>
      </c>
      <c r="G40" s="41">
        <f t="shared" si="6"/>
        <v>-3000.265778734703</v>
      </c>
      <c r="H40" s="41">
        <f t="shared" si="6"/>
        <v>-3000.265778734703</v>
      </c>
      <c r="I40" s="41">
        <f t="shared" si="6"/>
        <v>-3000.265778734703</v>
      </c>
      <c r="J40" s="41">
        <f t="shared" si="6"/>
        <v>-3000.265778734703</v>
      </c>
      <c r="K40" s="41">
        <f t="shared" si="6"/>
        <v>-3000.265778734703</v>
      </c>
      <c r="L40" s="41">
        <f t="shared" si="6"/>
        <v>-3000.265778734703</v>
      </c>
      <c r="M40" s="41">
        <f t="shared" si="6"/>
        <v>-3000.265778734703</v>
      </c>
      <c r="N40" s="41">
        <f t="shared" si="6"/>
        <v>-3000.265778734703</v>
      </c>
    </row>
    <row r="41" spans="1:14" x14ac:dyDescent="0.3">
      <c r="A41" s="17"/>
      <c r="B41" s="17"/>
      <c r="C41" s="22"/>
      <c r="D41" s="22"/>
      <c r="E41" s="22"/>
      <c r="F41" s="22"/>
      <c r="G41" s="22"/>
      <c r="H41" s="22"/>
      <c r="I41" s="22"/>
      <c r="J41" s="22"/>
      <c r="K41" s="22"/>
      <c r="L41" s="22"/>
      <c r="M41" s="22"/>
      <c r="N41" s="22"/>
    </row>
    <row r="42" spans="1:14" x14ac:dyDescent="0.3">
      <c r="A42" s="17"/>
      <c r="B42" s="25" t="s">
        <v>79</v>
      </c>
      <c r="C42" s="29" t="e">
        <f t="shared" ref="C42:N42" si="7">C4+C40</f>
        <v>#REF!</v>
      </c>
      <c r="D42" s="29" t="e">
        <f t="shared" si="7"/>
        <v>#REF!</v>
      </c>
      <c r="E42" s="29" t="e">
        <f t="shared" si="7"/>
        <v>#REF!</v>
      </c>
      <c r="F42" s="29" t="e">
        <f t="shared" si="7"/>
        <v>#REF!</v>
      </c>
      <c r="G42" s="29" t="e">
        <f t="shared" si="7"/>
        <v>#REF!</v>
      </c>
      <c r="H42" s="29" t="e">
        <f t="shared" si="7"/>
        <v>#REF!</v>
      </c>
      <c r="I42" s="29" t="e">
        <f t="shared" si="7"/>
        <v>#REF!</v>
      </c>
      <c r="J42" s="29" t="e">
        <f t="shared" si="7"/>
        <v>#REF!</v>
      </c>
      <c r="K42" s="29" t="e">
        <f t="shared" si="7"/>
        <v>#REF!</v>
      </c>
      <c r="L42" s="29" t="e">
        <f t="shared" si="7"/>
        <v>#REF!</v>
      </c>
      <c r="M42" s="29" t="e">
        <f t="shared" si="7"/>
        <v>#REF!</v>
      </c>
      <c r="N42" s="29" t="e">
        <f t="shared" si="7"/>
        <v>#REF!</v>
      </c>
    </row>
    <row r="44" spans="1:14" x14ac:dyDescent="0.3">
      <c r="B44" s="72" t="s">
        <v>125</v>
      </c>
      <c r="C44" s="73" t="e">
        <f>C33/C6</f>
        <v>#DIV/0!</v>
      </c>
      <c r="D44" s="73" t="e">
        <f t="shared" ref="D44:N44" si="8">D33/D6</f>
        <v>#DIV/0!</v>
      </c>
      <c r="E44" s="73" t="e">
        <f t="shared" si="8"/>
        <v>#DIV/0!</v>
      </c>
      <c r="F44" s="73" t="e">
        <f t="shared" si="8"/>
        <v>#DIV/0!</v>
      </c>
      <c r="G44" s="73" t="e">
        <f t="shared" si="8"/>
        <v>#DIV/0!</v>
      </c>
      <c r="H44" s="73" t="e">
        <f t="shared" si="8"/>
        <v>#DIV/0!</v>
      </c>
      <c r="I44" s="73" t="e">
        <f t="shared" si="8"/>
        <v>#DIV/0!</v>
      </c>
      <c r="J44" s="73" t="e">
        <f t="shared" si="8"/>
        <v>#DIV/0!</v>
      </c>
      <c r="K44" s="73" t="e">
        <f t="shared" si="8"/>
        <v>#DIV/0!</v>
      </c>
      <c r="L44" s="73" t="e">
        <f t="shared" si="8"/>
        <v>#DIV/0!</v>
      </c>
      <c r="M44" s="73" t="e">
        <f t="shared" si="8"/>
        <v>#DIV/0!</v>
      </c>
      <c r="N44" s="73" t="e">
        <f t="shared" si="8"/>
        <v>#DIV/0!</v>
      </c>
    </row>
    <row r="45" spans="1:14" x14ac:dyDescent="0.3">
      <c r="B45" s="72" t="s">
        <v>126</v>
      </c>
      <c r="C45" s="75">
        <f>C33/C39</f>
        <v>0</v>
      </c>
      <c r="D45" s="75">
        <f t="shared" ref="D45:N45" si="9">D33/D39</f>
        <v>0</v>
      </c>
      <c r="E45" s="75">
        <f t="shared" si="9"/>
        <v>0</v>
      </c>
      <c r="F45" s="75">
        <f t="shared" si="9"/>
        <v>0</v>
      </c>
      <c r="G45" s="75">
        <f t="shared" si="9"/>
        <v>0</v>
      </c>
      <c r="H45" s="75">
        <f t="shared" si="9"/>
        <v>0</v>
      </c>
      <c r="I45" s="75">
        <f t="shared" si="9"/>
        <v>0</v>
      </c>
      <c r="J45" s="75">
        <f t="shared" si="9"/>
        <v>0</v>
      </c>
      <c r="K45" s="75">
        <f t="shared" si="9"/>
        <v>0</v>
      </c>
      <c r="L45" s="75">
        <f t="shared" si="9"/>
        <v>0</v>
      </c>
      <c r="M45" s="75">
        <f t="shared" si="9"/>
        <v>0</v>
      </c>
      <c r="N45" s="75">
        <f t="shared" si="9"/>
        <v>0</v>
      </c>
    </row>
  </sheetData>
  <mergeCells count="2">
    <mergeCell ref="A1:N1"/>
    <mergeCell ref="A2:N2"/>
  </mergeCells>
  <pageMargins left="0.7" right="0.7" top="0.75" bottom="0.75" header="0.3" footer="0.3"/>
  <legacy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4"/>
    <pageSetUpPr fitToPage="1"/>
  </sheetPr>
  <dimension ref="A1:G134"/>
  <sheetViews>
    <sheetView topLeftCell="A3" zoomScale="218" zoomScaleNormal="218" workbookViewId="0">
      <selection activeCell="C10" sqref="C10"/>
    </sheetView>
  </sheetViews>
  <sheetFormatPr defaultColWidth="8.88671875" defaultRowHeight="10.199999999999999" x14ac:dyDescent="0.2"/>
  <cols>
    <col min="1" max="1" width="5.109375" style="46" customWidth="1"/>
    <col min="2" max="2" width="22.109375" style="46" customWidth="1"/>
    <col min="3" max="6" width="18.33203125" style="46" customWidth="1"/>
    <col min="7" max="16384" width="8.88671875" style="46"/>
  </cols>
  <sheetData>
    <row r="1" spans="1:7" ht="11.25" hidden="1" customHeight="1" x14ac:dyDescent="0.2">
      <c r="A1" s="143">
        <f>Transactions!A1</f>
        <v>0</v>
      </c>
      <c r="B1" s="144"/>
      <c r="C1" s="144"/>
      <c r="D1" s="144"/>
      <c r="E1" s="144"/>
      <c r="F1" s="145"/>
      <c r="G1" s="45"/>
    </row>
    <row r="2" spans="1:7" ht="10.8" hidden="1" thickBot="1" x14ac:dyDescent="0.25">
      <c r="A2" s="146"/>
      <c r="B2" s="147"/>
      <c r="C2" s="147"/>
      <c r="D2" s="147"/>
      <c r="E2" s="147"/>
      <c r="F2" s="148"/>
      <c r="G2" s="45"/>
    </row>
    <row r="3" spans="1:7" ht="20.399999999999999" thickBot="1" x14ac:dyDescent="0.45">
      <c r="A3" s="149" t="s">
        <v>108</v>
      </c>
      <c r="B3" s="150"/>
      <c r="C3" s="150"/>
      <c r="D3" s="150"/>
      <c r="E3" s="150"/>
      <c r="F3" s="151"/>
      <c r="G3" s="45"/>
    </row>
    <row r="4" spans="1:7" ht="15.6" x14ac:dyDescent="0.3">
      <c r="A4" s="47"/>
      <c r="B4" s="48"/>
      <c r="C4" s="48"/>
      <c r="D4" s="48"/>
      <c r="E4" s="48"/>
      <c r="F4" s="49"/>
      <c r="G4" s="45"/>
    </row>
    <row r="5" spans="1:7" ht="15.6" x14ac:dyDescent="0.3">
      <c r="A5" s="47"/>
      <c r="B5" s="50" t="s">
        <v>109</v>
      </c>
      <c r="C5" s="51">
        <v>250000</v>
      </c>
      <c r="D5" s="52"/>
      <c r="E5" s="53" t="s">
        <v>110</v>
      </c>
      <c r="F5" s="54">
        <f>Payment*Loan_Term*12-LoanAmount</f>
        <v>110031.89344816434</v>
      </c>
      <c r="G5" s="45"/>
    </row>
    <row r="6" spans="1:7" ht="15.6" x14ac:dyDescent="0.3">
      <c r="A6" s="47"/>
      <c r="B6" s="50" t="s">
        <v>111</v>
      </c>
      <c r="C6" s="55">
        <v>0</v>
      </c>
      <c r="D6" s="52"/>
      <c r="E6" s="53"/>
      <c r="F6" s="54"/>
      <c r="G6" s="45"/>
    </row>
    <row r="7" spans="1:7" ht="15.6" x14ac:dyDescent="0.3">
      <c r="A7" s="47"/>
      <c r="B7" s="50" t="s">
        <v>112</v>
      </c>
      <c r="C7" s="51">
        <f>Loan_Amount*C6</f>
        <v>0</v>
      </c>
      <c r="D7" s="52"/>
      <c r="E7" s="53"/>
      <c r="F7" s="54"/>
      <c r="G7" s="45"/>
    </row>
    <row r="8" spans="1:7" ht="15.6" x14ac:dyDescent="0.3">
      <c r="A8" s="47"/>
      <c r="B8" s="50" t="s">
        <v>113</v>
      </c>
      <c r="C8" s="51">
        <f>Loan_Amount-C7</f>
        <v>250000</v>
      </c>
      <c r="D8" s="52"/>
      <c r="E8" s="53"/>
      <c r="F8" s="54"/>
      <c r="G8" s="45"/>
    </row>
    <row r="9" spans="1:7" ht="15.6" x14ac:dyDescent="0.3">
      <c r="A9" s="47"/>
      <c r="B9" s="56" t="s">
        <v>114</v>
      </c>
      <c r="C9" s="57">
        <v>10</v>
      </c>
      <c r="D9" s="58"/>
      <c r="E9" s="53" t="s">
        <v>115</v>
      </c>
      <c r="F9" s="54">
        <f>Payment*Loan_Term*12-Total_Interest</f>
        <v>250000</v>
      </c>
      <c r="G9" s="45"/>
    </row>
    <row r="10" spans="1:7" ht="15.6" x14ac:dyDescent="0.3">
      <c r="A10" s="47"/>
      <c r="B10" s="56" t="s">
        <v>116</v>
      </c>
      <c r="C10" s="55">
        <v>7.7499999999999999E-2</v>
      </c>
      <c r="D10" s="58"/>
      <c r="E10" s="53" t="s">
        <v>117</v>
      </c>
      <c r="F10" s="54">
        <f>Total_Interest+Total_Principal</f>
        <v>360031.89344816434</v>
      </c>
      <c r="G10" s="45"/>
    </row>
    <row r="11" spans="1:7" ht="15.6" x14ac:dyDescent="0.3">
      <c r="A11" s="47"/>
      <c r="B11" s="56" t="s">
        <v>118</v>
      </c>
      <c r="C11" s="59">
        <f>PMT(Rate/12,Loan_Term*12,-LoanAmount)</f>
        <v>3000.265778734703</v>
      </c>
      <c r="D11" s="52"/>
      <c r="E11" s="60"/>
      <c r="F11" s="54"/>
      <c r="G11" s="45"/>
    </row>
    <row r="12" spans="1:7" ht="16.2" thickBot="1" x14ac:dyDescent="0.35">
      <c r="A12" s="61"/>
      <c r="B12" s="62"/>
      <c r="C12" s="63"/>
      <c r="D12" s="64"/>
      <c r="E12" s="65"/>
      <c r="F12" s="66"/>
      <c r="G12" s="45"/>
    </row>
    <row r="14" spans="1:7" ht="28.8" x14ac:dyDescent="0.3">
      <c r="A14" s="67" t="s">
        <v>119</v>
      </c>
      <c r="B14" s="68" t="s">
        <v>120</v>
      </c>
      <c r="C14" s="67" t="s">
        <v>23</v>
      </c>
      <c r="D14" s="67" t="s">
        <v>121</v>
      </c>
      <c r="E14" s="67" t="s">
        <v>122</v>
      </c>
      <c r="F14" s="68" t="s">
        <v>123</v>
      </c>
    </row>
    <row r="15" spans="1:7" ht="15.6" x14ac:dyDescent="0.3">
      <c r="A15" s="70">
        <v>1</v>
      </c>
      <c r="B15" s="69">
        <f>Total_Cost</f>
        <v>360031.89344816434</v>
      </c>
      <c r="C15" s="69">
        <f t="shared" ref="C15:C46" si="0">B15*(Rate/12)</f>
        <v>2325.2059785193946</v>
      </c>
      <c r="D15" s="71">
        <f t="shared" ref="D15:D46" si="1">Payment-C15</f>
        <v>675.05980021530831</v>
      </c>
      <c r="E15" s="71">
        <f>C15+D15</f>
        <v>3000.265778734703</v>
      </c>
      <c r="F15" s="71">
        <f>B15-E15</f>
        <v>357031.62766942964</v>
      </c>
    </row>
    <row r="16" spans="1:7" ht="15.6" x14ac:dyDescent="0.3">
      <c r="A16" s="70">
        <v>2</v>
      </c>
      <c r="B16" s="71">
        <f>F15</f>
        <v>357031.62766942964</v>
      </c>
      <c r="C16" s="69">
        <f t="shared" si="0"/>
        <v>2305.8292620317329</v>
      </c>
      <c r="D16" s="71">
        <f t="shared" si="1"/>
        <v>694.43651670297004</v>
      </c>
      <c r="E16" s="71">
        <f t="shared" ref="E16:E79" si="2">C16+D16</f>
        <v>3000.265778734703</v>
      </c>
      <c r="F16" s="71">
        <f t="shared" ref="F16:F79" si="3">B16-E16</f>
        <v>354031.36189069494</v>
      </c>
    </row>
    <row r="17" spans="1:6" ht="15.6" x14ac:dyDescent="0.3">
      <c r="A17" s="70">
        <v>3</v>
      </c>
      <c r="B17" s="71">
        <f t="shared" ref="B17:B80" si="4">F16</f>
        <v>354031.36189069494</v>
      </c>
      <c r="C17" s="69">
        <f t="shared" si="0"/>
        <v>2286.4525455440717</v>
      </c>
      <c r="D17" s="71">
        <f t="shared" si="1"/>
        <v>713.81323319063131</v>
      </c>
      <c r="E17" s="71">
        <f t="shared" si="2"/>
        <v>3000.265778734703</v>
      </c>
      <c r="F17" s="71">
        <f t="shared" si="3"/>
        <v>351031.09611196024</v>
      </c>
    </row>
    <row r="18" spans="1:6" ht="15.6" x14ac:dyDescent="0.3">
      <c r="A18" s="70">
        <v>4</v>
      </c>
      <c r="B18" s="71">
        <f t="shared" si="4"/>
        <v>351031.09611196024</v>
      </c>
      <c r="C18" s="69">
        <f t="shared" si="0"/>
        <v>2267.0758290564099</v>
      </c>
      <c r="D18" s="71">
        <f t="shared" si="1"/>
        <v>733.18994967829303</v>
      </c>
      <c r="E18" s="71">
        <f t="shared" si="2"/>
        <v>3000.265778734703</v>
      </c>
      <c r="F18" s="71">
        <f t="shared" si="3"/>
        <v>348030.83033322555</v>
      </c>
    </row>
    <row r="19" spans="1:6" ht="15.6" x14ac:dyDescent="0.3">
      <c r="A19" s="70">
        <v>5</v>
      </c>
      <c r="B19" s="71">
        <f t="shared" si="4"/>
        <v>348030.83033322555</v>
      </c>
      <c r="C19" s="69">
        <f t="shared" si="0"/>
        <v>2247.6991125687482</v>
      </c>
      <c r="D19" s="71">
        <f t="shared" si="1"/>
        <v>752.56666616595476</v>
      </c>
      <c r="E19" s="71">
        <f t="shared" si="2"/>
        <v>3000.265778734703</v>
      </c>
      <c r="F19" s="71">
        <f t="shared" si="3"/>
        <v>345030.56455449085</v>
      </c>
    </row>
    <row r="20" spans="1:6" ht="15.6" x14ac:dyDescent="0.3">
      <c r="A20" s="70">
        <v>6</v>
      </c>
      <c r="B20" s="71">
        <f t="shared" si="4"/>
        <v>345030.56455449085</v>
      </c>
      <c r="C20" s="69">
        <f t="shared" si="0"/>
        <v>2228.3223960810865</v>
      </c>
      <c r="D20" s="71">
        <f t="shared" si="1"/>
        <v>771.94338265361648</v>
      </c>
      <c r="E20" s="71">
        <f t="shared" si="2"/>
        <v>3000.265778734703</v>
      </c>
      <c r="F20" s="71">
        <f t="shared" si="3"/>
        <v>342030.29877575615</v>
      </c>
    </row>
    <row r="21" spans="1:6" ht="15.6" x14ac:dyDescent="0.3">
      <c r="A21" s="70">
        <v>7</v>
      </c>
      <c r="B21" s="71">
        <f t="shared" si="4"/>
        <v>342030.29877575615</v>
      </c>
      <c r="C21" s="69">
        <f t="shared" si="0"/>
        <v>2208.9456795934252</v>
      </c>
      <c r="D21" s="71">
        <f t="shared" si="1"/>
        <v>791.32009914127775</v>
      </c>
      <c r="E21" s="71">
        <f t="shared" si="2"/>
        <v>3000.265778734703</v>
      </c>
      <c r="F21" s="71">
        <f t="shared" si="3"/>
        <v>339030.03299702145</v>
      </c>
    </row>
    <row r="22" spans="1:6" ht="15.6" x14ac:dyDescent="0.3">
      <c r="A22" s="70">
        <v>8</v>
      </c>
      <c r="B22" s="71">
        <f t="shared" si="4"/>
        <v>339030.03299702145</v>
      </c>
      <c r="C22" s="69">
        <f t="shared" si="0"/>
        <v>2189.5689631057635</v>
      </c>
      <c r="D22" s="71">
        <f t="shared" si="1"/>
        <v>810.69681562893948</v>
      </c>
      <c r="E22" s="71">
        <f t="shared" si="2"/>
        <v>3000.265778734703</v>
      </c>
      <c r="F22" s="71">
        <f t="shared" si="3"/>
        <v>336029.76721828675</v>
      </c>
    </row>
    <row r="23" spans="1:6" ht="15.6" x14ac:dyDescent="0.3">
      <c r="A23" s="70">
        <v>9</v>
      </c>
      <c r="B23" s="71">
        <f t="shared" si="4"/>
        <v>336029.76721828675</v>
      </c>
      <c r="C23" s="69">
        <f t="shared" si="0"/>
        <v>2170.1922466181018</v>
      </c>
      <c r="D23" s="71">
        <f t="shared" si="1"/>
        <v>830.0735321166012</v>
      </c>
      <c r="E23" s="71">
        <f t="shared" si="2"/>
        <v>3000.265778734703</v>
      </c>
      <c r="F23" s="71">
        <f t="shared" si="3"/>
        <v>333029.50143955206</v>
      </c>
    </row>
    <row r="24" spans="1:6" ht="15.6" x14ac:dyDescent="0.3">
      <c r="A24" s="70">
        <v>10</v>
      </c>
      <c r="B24" s="71">
        <f t="shared" si="4"/>
        <v>333029.50143955206</v>
      </c>
      <c r="C24" s="69">
        <f t="shared" si="0"/>
        <v>2150.8155301304405</v>
      </c>
      <c r="D24" s="71">
        <f t="shared" si="1"/>
        <v>849.45024860426247</v>
      </c>
      <c r="E24" s="71">
        <f t="shared" si="2"/>
        <v>3000.265778734703</v>
      </c>
      <c r="F24" s="71">
        <f t="shared" si="3"/>
        <v>330029.23566081736</v>
      </c>
    </row>
    <row r="25" spans="1:6" ht="15.6" x14ac:dyDescent="0.3">
      <c r="A25" s="70">
        <v>11</v>
      </c>
      <c r="B25" s="71">
        <f t="shared" si="4"/>
        <v>330029.23566081736</v>
      </c>
      <c r="C25" s="69">
        <f t="shared" si="0"/>
        <v>2131.4388136427788</v>
      </c>
      <c r="D25" s="71">
        <f t="shared" si="1"/>
        <v>868.82696509192419</v>
      </c>
      <c r="E25" s="71">
        <f t="shared" si="2"/>
        <v>3000.265778734703</v>
      </c>
      <c r="F25" s="71">
        <f t="shared" si="3"/>
        <v>327028.96988208266</v>
      </c>
    </row>
    <row r="26" spans="1:6" ht="15.6" x14ac:dyDescent="0.3">
      <c r="A26" s="70">
        <v>12</v>
      </c>
      <c r="B26" s="71">
        <f t="shared" si="4"/>
        <v>327028.96988208266</v>
      </c>
      <c r="C26" s="69">
        <f t="shared" si="0"/>
        <v>2112.062097155117</v>
      </c>
      <c r="D26" s="71">
        <f t="shared" si="1"/>
        <v>888.20368157958592</v>
      </c>
      <c r="E26" s="71">
        <f t="shared" si="2"/>
        <v>3000.265778734703</v>
      </c>
      <c r="F26" s="71">
        <f t="shared" si="3"/>
        <v>324028.70410334796</v>
      </c>
    </row>
    <row r="27" spans="1:6" ht="15.6" x14ac:dyDescent="0.3">
      <c r="A27" s="70">
        <v>13</v>
      </c>
      <c r="B27" s="71">
        <f t="shared" si="4"/>
        <v>324028.70410334796</v>
      </c>
      <c r="C27" s="69">
        <f t="shared" si="0"/>
        <v>2092.6853806674558</v>
      </c>
      <c r="D27" s="71">
        <f t="shared" si="1"/>
        <v>907.58039806724719</v>
      </c>
      <c r="E27" s="71">
        <f t="shared" si="2"/>
        <v>3000.265778734703</v>
      </c>
      <c r="F27" s="71">
        <f t="shared" si="3"/>
        <v>321028.43832461326</v>
      </c>
    </row>
    <row r="28" spans="1:6" ht="15.6" x14ac:dyDescent="0.3">
      <c r="A28" s="70">
        <v>14</v>
      </c>
      <c r="B28" s="71">
        <f t="shared" si="4"/>
        <v>321028.43832461326</v>
      </c>
      <c r="C28" s="69">
        <f t="shared" si="0"/>
        <v>2073.3086641797941</v>
      </c>
      <c r="D28" s="71">
        <f t="shared" si="1"/>
        <v>926.95711455490891</v>
      </c>
      <c r="E28" s="71">
        <f t="shared" si="2"/>
        <v>3000.265778734703</v>
      </c>
      <c r="F28" s="71">
        <f t="shared" si="3"/>
        <v>318028.17254587857</v>
      </c>
    </row>
    <row r="29" spans="1:6" ht="15.6" x14ac:dyDescent="0.3">
      <c r="A29" s="70">
        <v>15</v>
      </c>
      <c r="B29" s="71">
        <f t="shared" si="4"/>
        <v>318028.17254587857</v>
      </c>
      <c r="C29" s="69">
        <f t="shared" si="0"/>
        <v>2053.9319476921323</v>
      </c>
      <c r="D29" s="71">
        <f t="shared" si="1"/>
        <v>946.33383104257064</v>
      </c>
      <c r="E29" s="71">
        <f t="shared" si="2"/>
        <v>3000.265778734703</v>
      </c>
      <c r="F29" s="71">
        <f t="shared" si="3"/>
        <v>315027.90676714387</v>
      </c>
    </row>
    <row r="30" spans="1:6" ht="15.6" x14ac:dyDescent="0.3">
      <c r="A30" s="70">
        <v>16</v>
      </c>
      <c r="B30" s="71">
        <f t="shared" si="4"/>
        <v>315027.90676714387</v>
      </c>
      <c r="C30" s="69">
        <f t="shared" si="0"/>
        <v>2034.5552312044708</v>
      </c>
      <c r="D30" s="71">
        <f t="shared" si="1"/>
        <v>965.71054753023213</v>
      </c>
      <c r="E30" s="71">
        <f t="shared" si="2"/>
        <v>3000.265778734703</v>
      </c>
      <c r="F30" s="71">
        <f t="shared" si="3"/>
        <v>312027.64098840917</v>
      </c>
    </row>
    <row r="31" spans="1:6" ht="15.6" x14ac:dyDescent="0.3">
      <c r="A31" s="70">
        <v>17</v>
      </c>
      <c r="B31" s="71">
        <f t="shared" si="4"/>
        <v>312027.64098840917</v>
      </c>
      <c r="C31" s="69">
        <f t="shared" si="0"/>
        <v>2015.1785147168091</v>
      </c>
      <c r="D31" s="71">
        <f t="shared" si="1"/>
        <v>985.08726401789386</v>
      </c>
      <c r="E31" s="71">
        <f t="shared" si="2"/>
        <v>3000.265778734703</v>
      </c>
      <c r="F31" s="71">
        <f t="shared" si="3"/>
        <v>309027.37520967447</v>
      </c>
    </row>
    <row r="32" spans="1:6" ht="15.6" x14ac:dyDescent="0.3">
      <c r="A32" s="70">
        <v>18</v>
      </c>
      <c r="B32" s="71">
        <f t="shared" si="4"/>
        <v>309027.37520967447</v>
      </c>
      <c r="C32" s="69">
        <f t="shared" si="0"/>
        <v>1995.8017982291476</v>
      </c>
      <c r="D32" s="71">
        <f t="shared" si="1"/>
        <v>1004.4639805055554</v>
      </c>
      <c r="E32" s="71">
        <f t="shared" si="2"/>
        <v>3000.265778734703</v>
      </c>
      <c r="F32" s="71">
        <f t="shared" si="3"/>
        <v>306027.10943093977</v>
      </c>
    </row>
    <row r="33" spans="1:6" ht="15.6" x14ac:dyDescent="0.3">
      <c r="A33" s="70">
        <v>19</v>
      </c>
      <c r="B33" s="71">
        <f t="shared" si="4"/>
        <v>306027.10943093977</v>
      </c>
      <c r="C33" s="69">
        <f t="shared" si="0"/>
        <v>1976.4250817414861</v>
      </c>
      <c r="D33" s="71">
        <f t="shared" si="1"/>
        <v>1023.8406969932169</v>
      </c>
      <c r="E33" s="71">
        <f t="shared" si="2"/>
        <v>3000.265778734703</v>
      </c>
      <c r="F33" s="71">
        <f t="shared" si="3"/>
        <v>303026.84365220508</v>
      </c>
    </row>
    <row r="34" spans="1:6" ht="15.6" x14ac:dyDescent="0.3">
      <c r="A34" s="70">
        <v>20</v>
      </c>
      <c r="B34" s="71">
        <f t="shared" si="4"/>
        <v>303026.84365220508</v>
      </c>
      <c r="C34" s="69">
        <f t="shared" si="0"/>
        <v>1957.0483652538244</v>
      </c>
      <c r="D34" s="71">
        <f t="shared" si="1"/>
        <v>1043.2174134808786</v>
      </c>
      <c r="E34" s="71">
        <f t="shared" si="2"/>
        <v>3000.265778734703</v>
      </c>
      <c r="F34" s="71">
        <f t="shared" si="3"/>
        <v>300026.57787347038</v>
      </c>
    </row>
    <row r="35" spans="1:6" ht="15.6" x14ac:dyDescent="0.3">
      <c r="A35" s="70">
        <v>21</v>
      </c>
      <c r="B35" s="71">
        <f t="shared" si="4"/>
        <v>300026.57787347038</v>
      </c>
      <c r="C35" s="69">
        <f t="shared" si="0"/>
        <v>1937.6716487661629</v>
      </c>
      <c r="D35" s="71">
        <f t="shared" si="1"/>
        <v>1062.5941299685401</v>
      </c>
      <c r="E35" s="71">
        <f t="shared" si="2"/>
        <v>3000.265778734703</v>
      </c>
      <c r="F35" s="71">
        <f t="shared" si="3"/>
        <v>297026.31209473568</v>
      </c>
    </row>
    <row r="36" spans="1:6" ht="15.6" x14ac:dyDescent="0.3">
      <c r="A36" s="70">
        <v>22</v>
      </c>
      <c r="B36" s="71">
        <f t="shared" si="4"/>
        <v>297026.31209473568</v>
      </c>
      <c r="C36" s="69">
        <f t="shared" si="0"/>
        <v>1918.2949322785012</v>
      </c>
      <c r="D36" s="71">
        <f t="shared" si="1"/>
        <v>1081.9708464562018</v>
      </c>
      <c r="E36" s="71">
        <f t="shared" si="2"/>
        <v>3000.265778734703</v>
      </c>
      <c r="F36" s="71">
        <f t="shared" si="3"/>
        <v>294026.04631600098</v>
      </c>
    </row>
    <row r="37" spans="1:6" ht="15.6" x14ac:dyDescent="0.3">
      <c r="A37" s="70">
        <v>23</v>
      </c>
      <c r="B37" s="71">
        <f t="shared" si="4"/>
        <v>294026.04631600098</v>
      </c>
      <c r="C37" s="69">
        <f t="shared" si="0"/>
        <v>1898.9182157908397</v>
      </c>
      <c r="D37" s="71">
        <f t="shared" si="1"/>
        <v>1101.3475629438633</v>
      </c>
      <c r="E37" s="71">
        <f t="shared" si="2"/>
        <v>3000.265778734703</v>
      </c>
      <c r="F37" s="71">
        <f t="shared" si="3"/>
        <v>291025.78053726628</v>
      </c>
    </row>
    <row r="38" spans="1:6" ht="15.6" x14ac:dyDescent="0.3">
      <c r="A38" s="70">
        <v>24</v>
      </c>
      <c r="B38" s="71">
        <f t="shared" si="4"/>
        <v>291025.78053726628</v>
      </c>
      <c r="C38" s="69">
        <f t="shared" si="0"/>
        <v>1879.5414993031782</v>
      </c>
      <c r="D38" s="71">
        <f t="shared" si="1"/>
        <v>1120.7242794315248</v>
      </c>
      <c r="E38" s="71">
        <f t="shared" si="2"/>
        <v>3000.265778734703</v>
      </c>
      <c r="F38" s="71">
        <f t="shared" si="3"/>
        <v>288025.51475853159</v>
      </c>
    </row>
    <row r="39" spans="1:6" ht="15.6" x14ac:dyDescent="0.3">
      <c r="A39" s="70">
        <v>25</v>
      </c>
      <c r="B39" s="71">
        <f t="shared" si="4"/>
        <v>288025.51475853159</v>
      </c>
      <c r="C39" s="69">
        <f t="shared" si="0"/>
        <v>1860.1647828155164</v>
      </c>
      <c r="D39" s="71">
        <f t="shared" si="1"/>
        <v>1140.1009959191865</v>
      </c>
      <c r="E39" s="71">
        <f t="shared" si="2"/>
        <v>3000.265778734703</v>
      </c>
      <c r="F39" s="71">
        <f t="shared" si="3"/>
        <v>285025.24897979689</v>
      </c>
    </row>
    <row r="40" spans="1:6" ht="15.6" x14ac:dyDescent="0.3">
      <c r="A40" s="70">
        <v>26</v>
      </c>
      <c r="B40" s="71">
        <f t="shared" si="4"/>
        <v>285025.24897979689</v>
      </c>
      <c r="C40" s="69">
        <f t="shared" si="0"/>
        <v>1840.7880663278549</v>
      </c>
      <c r="D40" s="71">
        <f t="shared" si="1"/>
        <v>1159.477712406848</v>
      </c>
      <c r="E40" s="71">
        <f t="shared" si="2"/>
        <v>3000.265778734703</v>
      </c>
      <c r="F40" s="71">
        <f t="shared" si="3"/>
        <v>282024.98320106219</v>
      </c>
    </row>
    <row r="41" spans="1:6" ht="15.6" x14ac:dyDescent="0.3">
      <c r="A41" s="70">
        <v>27</v>
      </c>
      <c r="B41" s="71">
        <f t="shared" si="4"/>
        <v>282024.98320106219</v>
      </c>
      <c r="C41" s="69">
        <f t="shared" si="0"/>
        <v>1821.4113498401932</v>
      </c>
      <c r="D41" s="71">
        <f t="shared" si="1"/>
        <v>1178.8544288945097</v>
      </c>
      <c r="E41" s="71">
        <f t="shared" si="2"/>
        <v>3000.265778734703</v>
      </c>
      <c r="F41" s="71">
        <f t="shared" si="3"/>
        <v>279024.71742232749</v>
      </c>
    </row>
    <row r="42" spans="1:6" ht="15.6" x14ac:dyDescent="0.3">
      <c r="A42" s="70">
        <v>28</v>
      </c>
      <c r="B42" s="71">
        <f t="shared" si="4"/>
        <v>279024.71742232749</v>
      </c>
      <c r="C42" s="69">
        <f t="shared" si="0"/>
        <v>1802.0346333525317</v>
      </c>
      <c r="D42" s="71">
        <f t="shared" si="1"/>
        <v>1198.2311453821712</v>
      </c>
      <c r="E42" s="71">
        <f t="shared" si="2"/>
        <v>3000.265778734703</v>
      </c>
      <c r="F42" s="71">
        <f t="shared" si="3"/>
        <v>276024.45164359279</v>
      </c>
    </row>
    <row r="43" spans="1:6" ht="15.6" x14ac:dyDescent="0.3">
      <c r="A43" s="70">
        <v>29</v>
      </c>
      <c r="B43" s="71">
        <f t="shared" si="4"/>
        <v>276024.45164359279</v>
      </c>
      <c r="C43" s="69">
        <f t="shared" si="0"/>
        <v>1782.6579168648702</v>
      </c>
      <c r="D43" s="71">
        <f t="shared" si="1"/>
        <v>1217.6078618698327</v>
      </c>
      <c r="E43" s="71">
        <f t="shared" si="2"/>
        <v>3000.265778734703</v>
      </c>
      <c r="F43" s="71">
        <f t="shared" si="3"/>
        <v>273024.1858648581</v>
      </c>
    </row>
    <row r="44" spans="1:6" ht="15.6" x14ac:dyDescent="0.3">
      <c r="A44" s="70">
        <v>30</v>
      </c>
      <c r="B44" s="71">
        <f t="shared" si="4"/>
        <v>273024.1858648581</v>
      </c>
      <c r="C44" s="69">
        <f t="shared" si="0"/>
        <v>1763.2812003772085</v>
      </c>
      <c r="D44" s="71">
        <f t="shared" si="1"/>
        <v>1236.9845783574945</v>
      </c>
      <c r="E44" s="71">
        <f t="shared" si="2"/>
        <v>3000.265778734703</v>
      </c>
      <c r="F44" s="71">
        <f t="shared" si="3"/>
        <v>270023.9200861234</v>
      </c>
    </row>
    <row r="45" spans="1:6" ht="15.6" x14ac:dyDescent="0.3">
      <c r="A45" s="70">
        <v>31</v>
      </c>
      <c r="B45" s="71">
        <f t="shared" si="4"/>
        <v>270023.9200861234</v>
      </c>
      <c r="C45" s="69">
        <f t="shared" si="0"/>
        <v>1743.904483889547</v>
      </c>
      <c r="D45" s="71">
        <f t="shared" si="1"/>
        <v>1256.361294845156</v>
      </c>
      <c r="E45" s="71">
        <f t="shared" si="2"/>
        <v>3000.265778734703</v>
      </c>
      <c r="F45" s="71">
        <f t="shared" si="3"/>
        <v>267023.6543073887</v>
      </c>
    </row>
    <row r="46" spans="1:6" ht="15.6" x14ac:dyDescent="0.3">
      <c r="A46" s="70">
        <v>32</v>
      </c>
      <c r="B46" s="71">
        <f t="shared" si="4"/>
        <v>267023.6543073887</v>
      </c>
      <c r="C46" s="69">
        <f t="shared" si="0"/>
        <v>1724.5277674018853</v>
      </c>
      <c r="D46" s="71">
        <f t="shared" si="1"/>
        <v>1275.7380113328177</v>
      </c>
      <c r="E46" s="71">
        <f t="shared" si="2"/>
        <v>3000.265778734703</v>
      </c>
      <c r="F46" s="71">
        <f t="shared" si="3"/>
        <v>264023.388528654</v>
      </c>
    </row>
    <row r="47" spans="1:6" ht="15.6" x14ac:dyDescent="0.3">
      <c r="A47" s="70">
        <v>33</v>
      </c>
      <c r="B47" s="71">
        <f t="shared" si="4"/>
        <v>264023.388528654</v>
      </c>
      <c r="C47" s="69">
        <f t="shared" ref="C47:C110" si="5">B47*(Rate/12)</f>
        <v>1705.1510509142238</v>
      </c>
      <c r="D47" s="71">
        <f t="shared" ref="D47:D110" si="6">Payment-C47</f>
        <v>1295.1147278204792</v>
      </c>
      <c r="E47" s="71">
        <f t="shared" si="2"/>
        <v>3000.265778734703</v>
      </c>
      <c r="F47" s="71">
        <f t="shared" si="3"/>
        <v>261023.1227499193</v>
      </c>
    </row>
    <row r="48" spans="1:6" ht="15.6" x14ac:dyDescent="0.3">
      <c r="A48" s="70">
        <v>34</v>
      </c>
      <c r="B48" s="71">
        <f t="shared" si="4"/>
        <v>261023.1227499193</v>
      </c>
      <c r="C48" s="69">
        <f t="shared" si="5"/>
        <v>1685.7743344265621</v>
      </c>
      <c r="D48" s="71">
        <f t="shared" si="6"/>
        <v>1314.4914443081409</v>
      </c>
      <c r="E48" s="71">
        <f t="shared" si="2"/>
        <v>3000.265778734703</v>
      </c>
      <c r="F48" s="71">
        <f t="shared" si="3"/>
        <v>258022.85697118461</v>
      </c>
    </row>
    <row r="49" spans="1:6" ht="15.6" x14ac:dyDescent="0.3">
      <c r="A49" s="70">
        <v>35</v>
      </c>
      <c r="B49" s="71">
        <f t="shared" si="4"/>
        <v>258022.85697118461</v>
      </c>
      <c r="C49" s="69">
        <f t="shared" si="5"/>
        <v>1666.3976179389006</v>
      </c>
      <c r="D49" s="71">
        <f t="shared" si="6"/>
        <v>1333.8681607958024</v>
      </c>
      <c r="E49" s="71">
        <f t="shared" si="2"/>
        <v>3000.265778734703</v>
      </c>
      <c r="F49" s="71">
        <f t="shared" si="3"/>
        <v>255022.59119244991</v>
      </c>
    </row>
    <row r="50" spans="1:6" ht="15.6" x14ac:dyDescent="0.3">
      <c r="A50" s="70">
        <v>36</v>
      </c>
      <c r="B50" s="71">
        <f t="shared" si="4"/>
        <v>255022.59119244991</v>
      </c>
      <c r="C50" s="69">
        <f t="shared" si="5"/>
        <v>1647.0209014512391</v>
      </c>
      <c r="D50" s="71">
        <f t="shared" si="6"/>
        <v>1353.2448772834639</v>
      </c>
      <c r="E50" s="71">
        <f t="shared" si="2"/>
        <v>3000.265778734703</v>
      </c>
      <c r="F50" s="71">
        <f t="shared" si="3"/>
        <v>252022.32541371521</v>
      </c>
    </row>
    <row r="51" spans="1:6" ht="15.6" x14ac:dyDescent="0.3">
      <c r="A51" s="70">
        <v>37</v>
      </c>
      <c r="B51" s="71">
        <f t="shared" si="4"/>
        <v>252022.32541371521</v>
      </c>
      <c r="C51" s="69">
        <f t="shared" si="5"/>
        <v>1627.6441849635773</v>
      </c>
      <c r="D51" s="71">
        <f t="shared" si="6"/>
        <v>1372.6215937711256</v>
      </c>
      <c r="E51" s="71">
        <f t="shared" si="2"/>
        <v>3000.265778734703</v>
      </c>
      <c r="F51" s="71">
        <f t="shared" si="3"/>
        <v>249022.05963498051</v>
      </c>
    </row>
    <row r="52" spans="1:6" ht="15.6" x14ac:dyDescent="0.3">
      <c r="A52" s="70">
        <v>38</v>
      </c>
      <c r="B52" s="71">
        <f t="shared" si="4"/>
        <v>249022.05963498051</v>
      </c>
      <c r="C52" s="69">
        <f t="shared" si="5"/>
        <v>1608.2674684759158</v>
      </c>
      <c r="D52" s="71">
        <f t="shared" si="6"/>
        <v>1391.9983102587871</v>
      </c>
      <c r="E52" s="71">
        <f t="shared" si="2"/>
        <v>3000.265778734703</v>
      </c>
      <c r="F52" s="71">
        <f t="shared" si="3"/>
        <v>246021.79385624581</v>
      </c>
    </row>
    <row r="53" spans="1:6" ht="15.6" x14ac:dyDescent="0.3">
      <c r="A53" s="70">
        <v>39</v>
      </c>
      <c r="B53" s="71">
        <f t="shared" si="4"/>
        <v>246021.79385624581</v>
      </c>
      <c r="C53" s="69">
        <f t="shared" si="5"/>
        <v>1588.8907519882541</v>
      </c>
      <c r="D53" s="71">
        <f t="shared" si="6"/>
        <v>1411.3750267464488</v>
      </c>
      <c r="E53" s="71">
        <f t="shared" si="2"/>
        <v>3000.265778734703</v>
      </c>
      <c r="F53" s="71">
        <f t="shared" si="3"/>
        <v>243021.52807751112</v>
      </c>
    </row>
    <row r="54" spans="1:6" ht="15.6" x14ac:dyDescent="0.3">
      <c r="A54" s="70">
        <v>40</v>
      </c>
      <c r="B54" s="71">
        <f t="shared" si="4"/>
        <v>243021.52807751112</v>
      </c>
      <c r="C54" s="69">
        <f t="shared" si="5"/>
        <v>1569.5140355005926</v>
      </c>
      <c r="D54" s="71">
        <f t="shared" si="6"/>
        <v>1430.7517432341103</v>
      </c>
      <c r="E54" s="71">
        <f t="shared" si="2"/>
        <v>3000.265778734703</v>
      </c>
      <c r="F54" s="71">
        <f t="shared" si="3"/>
        <v>240021.26229877642</v>
      </c>
    </row>
    <row r="55" spans="1:6" ht="15.6" x14ac:dyDescent="0.3">
      <c r="A55" s="70">
        <v>41</v>
      </c>
      <c r="B55" s="71">
        <f t="shared" si="4"/>
        <v>240021.26229877642</v>
      </c>
      <c r="C55" s="69">
        <f t="shared" si="5"/>
        <v>1550.1373190129311</v>
      </c>
      <c r="D55" s="71">
        <f t="shared" si="6"/>
        <v>1450.1284597217718</v>
      </c>
      <c r="E55" s="71">
        <f t="shared" si="2"/>
        <v>3000.265778734703</v>
      </c>
      <c r="F55" s="71">
        <f t="shared" si="3"/>
        <v>237020.99652004172</v>
      </c>
    </row>
    <row r="56" spans="1:6" ht="15.6" x14ac:dyDescent="0.3">
      <c r="A56" s="70">
        <v>42</v>
      </c>
      <c r="B56" s="71">
        <f t="shared" si="4"/>
        <v>237020.99652004172</v>
      </c>
      <c r="C56" s="69">
        <f t="shared" si="5"/>
        <v>1530.7606025252694</v>
      </c>
      <c r="D56" s="71">
        <f t="shared" si="6"/>
        <v>1469.5051762094336</v>
      </c>
      <c r="E56" s="71">
        <f t="shared" si="2"/>
        <v>3000.265778734703</v>
      </c>
      <c r="F56" s="71">
        <f t="shared" si="3"/>
        <v>234020.73074130702</v>
      </c>
    </row>
    <row r="57" spans="1:6" ht="15.6" x14ac:dyDescent="0.3">
      <c r="A57" s="70">
        <v>43</v>
      </c>
      <c r="B57" s="71">
        <f t="shared" si="4"/>
        <v>234020.73074130702</v>
      </c>
      <c r="C57" s="69">
        <f t="shared" si="5"/>
        <v>1511.3838860376079</v>
      </c>
      <c r="D57" s="71">
        <f t="shared" si="6"/>
        <v>1488.8818926970951</v>
      </c>
      <c r="E57" s="71">
        <f t="shared" si="2"/>
        <v>3000.265778734703</v>
      </c>
      <c r="F57" s="71">
        <f t="shared" si="3"/>
        <v>231020.46496257233</v>
      </c>
    </row>
    <row r="58" spans="1:6" ht="15.6" x14ac:dyDescent="0.3">
      <c r="A58" s="70">
        <v>44</v>
      </c>
      <c r="B58" s="71">
        <f t="shared" si="4"/>
        <v>231020.46496257233</v>
      </c>
      <c r="C58" s="69">
        <f t="shared" si="5"/>
        <v>1492.0071695499462</v>
      </c>
      <c r="D58" s="71">
        <f t="shared" si="6"/>
        <v>1508.2586091847568</v>
      </c>
      <c r="E58" s="71">
        <f t="shared" si="2"/>
        <v>3000.265778734703</v>
      </c>
      <c r="F58" s="71">
        <f t="shared" si="3"/>
        <v>228020.19918383763</v>
      </c>
    </row>
    <row r="59" spans="1:6" ht="15.6" x14ac:dyDescent="0.3">
      <c r="A59" s="70">
        <v>45</v>
      </c>
      <c r="B59" s="71">
        <f t="shared" si="4"/>
        <v>228020.19918383763</v>
      </c>
      <c r="C59" s="69">
        <f t="shared" si="5"/>
        <v>1472.6304530622847</v>
      </c>
      <c r="D59" s="71">
        <f t="shared" si="6"/>
        <v>1527.6353256724183</v>
      </c>
      <c r="E59" s="71">
        <f t="shared" si="2"/>
        <v>3000.265778734703</v>
      </c>
      <c r="F59" s="71">
        <f t="shared" si="3"/>
        <v>225019.93340510293</v>
      </c>
    </row>
    <row r="60" spans="1:6" ht="15.6" x14ac:dyDescent="0.3">
      <c r="A60" s="70">
        <v>46</v>
      </c>
      <c r="B60" s="71">
        <f t="shared" si="4"/>
        <v>225019.93340510293</v>
      </c>
      <c r="C60" s="69">
        <f t="shared" si="5"/>
        <v>1453.253736574623</v>
      </c>
      <c r="D60" s="71">
        <f t="shared" si="6"/>
        <v>1547.01204216008</v>
      </c>
      <c r="E60" s="71">
        <f t="shared" si="2"/>
        <v>3000.265778734703</v>
      </c>
      <c r="F60" s="71">
        <f t="shared" si="3"/>
        <v>222019.66762636823</v>
      </c>
    </row>
    <row r="61" spans="1:6" ht="15.6" x14ac:dyDescent="0.3">
      <c r="A61" s="70">
        <v>47</v>
      </c>
      <c r="B61" s="71">
        <f t="shared" si="4"/>
        <v>222019.66762636823</v>
      </c>
      <c r="C61" s="69">
        <f t="shared" si="5"/>
        <v>1433.8770200869615</v>
      </c>
      <c r="D61" s="71">
        <f t="shared" si="6"/>
        <v>1566.3887586477415</v>
      </c>
      <c r="E61" s="71">
        <f t="shared" si="2"/>
        <v>3000.265778734703</v>
      </c>
      <c r="F61" s="71">
        <f t="shared" si="3"/>
        <v>219019.40184763353</v>
      </c>
    </row>
    <row r="62" spans="1:6" ht="15.6" x14ac:dyDescent="0.3">
      <c r="A62" s="70">
        <v>48</v>
      </c>
      <c r="B62" s="71">
        <f t="shared" si="4"/>
        <v>219019.40184763353</v>
      </c>
      <c r="C62" s="69">
        <f t="shared" si="5"/>
        <v>1414.5003035993</v>
      </c>
      <c r="D62" s="71">
        <f t="shared" si="6"/>
        <v>1585.765475135403</v>
      </c>
      <c r="E62" s="71">
        <f t="shared" si="2"/>
        <v>3000.265778734703</v>
      </c>
      <c r="F62" s="71">
        <f t="shared" si="3"/>
        <v>216019.13606889884</v>
      </c>
    </row>
    <row r="63" spans="1:6" ht="15.6" x14ac:dyDescent="0.3">
      <c r="A63" s="70">
        <v>49</v>
      </c>
      <c r="B63" s="71">
        <f t="shared" si="4"/>
        <v>216019.13606889884</v>
      </c>
      <c r="C63" s="69">
        <f t="shared" si="5"/>
        <v>1395.1235871116382</v>
      </c>
      <c r="D63" s="71">
        <f t="shared" si="6"/>
        <v>1605.1421916230647</v>
      </c>
      <c r="E63" s="71">
        <f t="shared" si="2"/>
        <v>3000.265778734703</v>
      </c>
      <c r="F63" s="71">
        <f t="shared" si="3"/>
        <v>213018.87029016414</v>
      </c>
    </row>
    <row r="64" spans="1:6" ht="15.6" x14ac:dyDescent="0.3">
      <c r="A64" s="70">
        <v>50</v>
      </c>
      <c r="B64" s="71">
        <f t="shared" si="4"/>
        <v>213018.87029016414</v>
      </c>
      <c r="C64" s="69">
        <f t="shared" si="5"/>
        <v>1375.7468706239767</v>
      </c>
      <c r="D64" s="71">
        <f t="shared" si="6"/>
        <v>1624.5189081107262</v>
      </c>
      <c r="E64" s="71">
        <f t="shared" si="2"/>
        <v>3000.265778734703</v>
      </c>
      <c r="F64" s="71">
        <f t="shared" si="3"/>
        <v>210018.60451142944</v>
      </c>
    </row>
    <row r="65" spans="1:6" ht="15.6" x14ac:dyDescent="0.3">
      <c r="A65" s="70">
        <v>51</v>
      </c>
      <c r="B65" s="71">
        <f t="shared" si="4"/>
        <v>210018.60451142944</v>
      </c>
      <c r="C65" s="69">
        <f t="shared" si="5"/>
        <v>1356.370154136315</v>
      </c>
      <c r="D65" s="71">
        <f t="shared" si="6"/>
        <v>1643.8956245983879</v>
      </c>
      <c r="E65" s="71">
        <f t="shared" si="2"/>
        <v>3000.265778734703</v>
      </c>
      <c r="F65" s="71">
        <f t="shared" si="3"/>
        <v>207018.33873269474</v>
      </c>
    </row>
    <row r="66" spans="1:6" ht="15.6" x14ac:dyDescent="0.3">
      <c r="A66" s="70">
        <v>52</v>
      </c>
      <c r="B66" s="71">
        <f t="shared" si="4"/>
        <v>207018.33873269474</v>
      </c>
      <c r="C66" s="69">
        <f t="shared" si="5"/>
        <v>1336.9934376486535</v>
      </c>
      <c r="D66" s="71">
        <f t="shared" si="6"/>
        <v>1663.2723410860494</v>
      </c>
      <c r="E66" s="71">
        <f t="shared" si="2"/>
        <v>3000.265778734703</v>
      </c>
      <c r="F66" s="71">
        <f t="shared" si="3"/>
        <v>204018.07295396004</v>
      </c>
    </row>
    <row r="67" spans="1:6" ht="15.6" x14ac:dyDescent="0.3">
      <c r="A67" s="70">
        <v>53</v>
      </c>
      <c r="B67" s="71">
        <f t="shared" si="4"/>
        <v>204018.07295396004</v>
      </c>
      <c r="C67" s="69">
        <f t="shared" si="5"/>
        <v>1317.616721160992</v>
      </c>
      <c r="D67" s="71">
        <f t="shared" si="6"/>
        <v>1682.6490575737109</v>
      </c>
      <c r="E67" s="71">
        <f t="shared" si="2"/>
        <v>3000.265778734703</v>
      </c>
      <c r="F67" s="71">
        <f t="shared" si="3"/>
        <v>201017.80717522535</v>
      </c>
    </row>
    <row r="68" spans="1:6" ht="15.6" x14ac:dyDescent="0.3">
      <c r="A68" s="70">
        <v>54</v>
      </c>
      <c r="B68" s="71">
        <f t="shared" si="4"/>
        <v>201017.80717522535</v>
      </c>
      <c r="C68" s="69">
        <f t="shared" si="5"/>
        <v>1298.2400046733303</v>
      </c>
      <c r="D68" s="71">
        <f t="shared" si="6"/>
        <v>1702.0257740613727</v>
      </c>
      <c r="E68" s="71">
        <f t="shared" si="2"/>
        <v>3000.265778734703</v>
      </c>
      <c r="F68" s="71">
        <f t="shared" si="3"/>
        <v>198017.54139649065</v>
      </c>
    </row>
    <row r="69" spans="1:6" ht="15.6" x14ac:dyDescent="0.3">
      <c r="A69" s="70">
        <v>55</v>
      </c>
      <c r="B69" s="71">
        <f t="shared" si="4"/>
        <v>198017.54139649065</v>
      </c>
      <c r="C69" s="69">
        <f t="shared" si="5"/>
        <v>1278.8632881856688</v>
      </c>
      <c r="D69" s="71">
        <f t="shared" si="6"/>
        <v>1721.4024905490342</v>
      </c>
      <c r="E69" s="71">
        <f t="shared" si="2"/>
        <v>3000.265778734703</v>
      </c>
      <c r="F69" s="71">
        <f t="shared" si="3"/>
        <v>195017.27561775595</v>
      </c>
    </row>
    <row r="70" spans="1:6" ht="15.6" x14ac:dyDescent="0.3">
      <c r="A70" s="70">
        <v>56</v>
      </c>
      <c r="B70" s="71">
        <f t="shared" si="4"/>
        <v>195017.27561775595</v>
      </c>
      <c r="C70" s="69">
        <f t="shared" si="5"/>
        <v>1259.4865716980071</v>
      </c>
      <c r="D70" s="71">
        <f t="shared" si="6"/>
        <v>1740.7792070366959</v>
      </c>
      <c r="E70" s="71">
        <f t="shared" si="2"/>
        <v>3000.265778734703</v>
      </c>
      <c r="F70" s="71">
        <f t="shared" si="3"/>
        <v>192017.00983902125</v>
      </c>
    </row>
    <row r="71" spans="1:6" ht="15.6" x14ac:dyDescent="0.3">
      <c r="A71" s="70">
        <v>57</v>
      </c>
      <c r="B71" s="71">
        <f t="shared" si="4"/>
        <v>192017.00983902125</v>
      </c>
      <c r="C71" s="69">
        <f t="shared" si="5"/>
        <v>1240.1098552103456</v>
      </c>
      <c r="D71" s="71">
        <f t="shared" si="6"/>
        <v>1760.1559235243574</v>
      </c>
      <c r="E71" s="71">
        <f t="shared" si="2"/>
        <v>3000.265778734703</v>
      </c>
      <c r="F71" s="71">
        <f t="shared" si="3"/>
        <v>189016.74406028655</v>
      </c>
    </row>
    <row r="72" spans="1:6" ht="15.6" x14ac:dyDescent="0.3">
      <c r="A72" s="70">
        <v>58</v>
      </c>
      <c r="B72" s="71">
        <f t="shared" si="4"/>
        <v>189016.74406028655</v>
      </c>
      <c r="C72" s="69">
        <f t="shared" si="5"/>
        <v>1220.7331387226841</v>
      </c>
      <c r="D72" s="71">
        <f t="shared" si="6"/>
        <v>1779.5326400120189</v>
      </c>
      <c r="E72" s="71">
        <f t="shared" si="2"/>
        <v>3000.265778734703</v>
      </c>
      <c r="F72" s="71">
        <f t="shared" si="3"/>
        <v>186016.47828155186</v>
      </c>
    </row>
    <row r="73" spans="1:6" ht="15.6" x14ac:dyDescent="0.3">
      <c r="A73" s="70">
        <v>59</v>
      </c>
      <c r="B73" s="71">
        <f t="shared" si="4"/>
        <v>186016.47828155186</v>
      </c>
      <c r="C73" s="69">
        <f t="shared" si="5"/>
        <v>1201.3564222350224</v>
      </c>
      <c r="D73" s="71">
        <f t="shared" si="6"/>
        <v>1798.9093564996806</v>
      </c>
      <c r="E73" s="71">
        <f t="shared" si="2"/>
        <v>3000.265778734703</v>
      </c>
      <c r="F73" s="71">
        <f t="shared" si="3"/>
        <v>183016.21250281716</v>
      </c>
    </row>
    <row r="74" spans="1:6" ht="15.6" x14ac:dyDescent="0.3">
      <c r="A74" s="70">
        <v>60</v>
      </c>
      <c r="B74" s="71">
        <f t="shared" si="4"/>
        <v>183016.21250281716</v>
      </c>
      <c r="C74" s="69">
        <f t="shared" si="5"/>
        <v>1181.9797057473609</v>
      </c>
      <c r="D74" s="71">
        <f t="shared" si="6"/>
        <v>1818.2860729873421</v>
      </c>
      <c r="E74" s="71">
        <f t="shared" si="2"/>
        <v>3000.265778734703</v>
      </c>
      <c r="F74" s="71">
        <f t="shared" si="3"/>
        <v>180015.94672408246</v>
      </c>
    </row>
    <row r="75" spans="1:6" ht="15.6" x14ac:dyDescent="0.3">
      <c r="A75" s="70">
        <v>61</v>
      </c>
      <c r="B75" s="71">
        <f t="shared" si="4"/>
        <v>180015.94672408246</v>
      </c>
      <c r="C75" s="69">
        <f t="shared" si="5"/>
        <v>1162.6029892596991</v>
      </c>
      <c r="D75" s="71">
        <f t="shared" si="6"/>
        <v>1837.6627894750038</v>
      </c>
      <c r="E75" s="71">
        <f t="shared" si="2"/>
        <v>3000.265778734703</v>
      </c>
      <c r="F75" s="71">
        <f t="shared" si="3"/>
        <v>177015.68094534776</v>
      </c>
    </row>
    <row r="76" spans="1:6" ht="15.6" x14ac:dyDescent="0.3">
      <c r="A76" s="70">
        <v>62</v>
      </c>
      <c r="B76" s="71">
        <f t="shared" si="4"/>
        <v>177015.68094534776</v>
      </c>
      <c r="C76" s="69">
        <f t="shared" si="5"/>
        <v>1143.2262727720376</v>
      </c>
      <c r="D76" s="71">
        <f t="shared" si="6"/>
        <v>1857.0395059626653</v>
      </c>
      <c r="E76" s="71">
        <f t="shared" si="2"/>
        <v>3000.265778734703</v>
      </c>
      <c r="F76" s="71">
        <f t="shared" si="3"/>
        <v>174015.41516661306</v>
      </c>
    </row>
    <row r="77" spans="1:6" ht="15.6" x14ac:dyDescent="0.3">
      <c r="A77" s="70">
        <v>63</v>
      </c>
      <c r="B77" s="71">
        <f t="shared" si="4"/>
        <v>174015.41516661306</v>
      </c>
      <c r="C77" s="69">
        <f t="shared" si="5"/>
        <v>1123.8495562843759</v>
      </c>
      <c r="D77" s="71">
        <f t="shared" si="6"/>
        <v>1876.416222450327</v>
      </c>
      <c r="E77" s="71">
        <f t="shared" si="2"/>
        <v>3000.265778734703</v>
      </c>
      <c r="F77" s="71">
        <f t="shared" si="3"/>
        <v>171015.14938787837</v>
      </c>
    </row>
    <row r="78" spans="1:6" ht="15.6" x14ac:dyDescent="0.3">
      <c r="A78" s="70">
        <v>64</v>
      </c>
      <c r="B78" s="71">
        <f t="shared" si="4"/>
        <v>171015.14938787837</v>
      </c>
      <c r="C78" s="69">
        <f t="shared" si="5"/>
        <v>1104.4728397967144</v>
      </c>
      <c r="D78" s="71">
        <f t="shared" si="6"/>
        <v>1895.7929389379885</v>
      </c>
      <c r="E78" s="71">
        <f t="shared" si="2"/>
        <v>3000.265778734703</v>
      </c>
      <c r="F78" s="71">
        <f t="shared" si="3"/>
        <v>168014.88360914367</v>
      </c>
    </row>
    <row r="79" spans="1:6" ht="15.6" x14ac:dyDescent="0.3">
      <c r="A79" s="70">
        <v>65</v>
      </c>
      <c r="B79" s="71">
        <f t="shared" si="4"/>
        <v>168014.88360914367</v>
      </c>
      <c r="C79" s="69">
        <f t="shared" si="5"/>
        <v>1085.0961233090529</v>
      </c>
      <c r="D79" s="71">
        <f t="shared" si="6"/>
        <v>1915.16965542565</v>
      </c>
      <c r="E79" s="71">
        <f t="shared" si="2"/>
        <v>3000.265778734703</v>
      </c>
      <c r="F79" s="71">
        <f t="shared" si="3"/>
        <v>165014.61783040897</v>
      </c>
    </row>
    <row r="80" spans="1:6" ht="15.6" x14ac:dyDescent="0.3">
      <c r="A80" s="70">
        <v>66</v>
      </c>
      <c r="B80" s="71">
        <f t="shared" si="4"/>
        <v>165014.61783040897</v>
      </c>
      <c r="C80" s="69">
        <f t="shared" si="5"/>
        <v>1065.7194068213912</v>
      </c>
      <c r="D80" s="71">
        <f t="shared" si="6"/>
        <v>1934.5463719133118</v>
      </c>
      <c r="E80" s="71">
        <f t="shared" ref="E80:E134" si="7">C80+D80</f>
        <v>3000.265778734703</v>
      </c>
      <c r="F80" s="71">
        <f t="shared" ref="F80:F134" si="8">B80-E80</f>
        <v>162014.35205167427</v>
      </c>
    </row>
    <row r="81" spans="1:6" ht="15.6" x14ac:dyDescent="0.3">
      <c r="A81" s="70">
        <v>67</v>
      </c>
      <c r="B81" s="71">
        <f t="shared" ref="B81:B134" si="9">F80</f>
        <v>162014.35205167427</v>
      </c>
      <c r="C81" s="69">
        <f t="shared" si="5"/>
        <v>1046.3426903337297</v>
      </c>
      <c r="D81" s="71">
        <f t="shared" si="6"/>
        <v>1953.9230884009733</v>
      </c>
      <c r="E81" s="71">
        <f t="shared" si="7"/>
        <v>3000.265778734703</v>
      </c>
      <c r="F81" s="71">
        <f t="shared" si="8"/>
        <v>159014.08627293957</v>
      </c>
    </row>
    <row r="82" spans="1:6" ht="15.6" x14ac:dyDescent="0.3">
      <c r="A82" s="70">
        <v>68</v>
      </c>
      <c r="B82" s="71">
        <f t="shared" si="9"/>
        <v>159014.08627293957</v>
      </c>
      <c r="C82" s="69">
        <f t="shared" si="5"/>
        <v>1026.965973846068</v>
      </c>
      <c r="D82" s="71">
        <f t="shared" si="6"/>
        <v>1973.299804888635</v>
      </c>
      <c r="E82" s="71">
        <f t="shared" si="7"/>
        <v>3000.265778734703</v>
      </c>
      <c r="F82" s="71">
        <f t="shared" si="8"/>
        <v>156013.82049420488</v>
      </c>
    </row>
    <row r="83" spans="1:6" ht="15.6" x14ac:dyDescent="0.3">
      <c r="A83" s="70">
        <v>69</v>
      </c>
      <c r="B83" s="71">
        <f t="shared" si="9"/>
        <v>156013.82049420488</v>
      </c>
      <c r="C83" s="69">
        <f t="shared" si="5"/>
        <v>1007.5892573584065</v>
      </c>
      <c r="D83" s="71">
        <f t="shared" si="6"/>
        <v>1992.6765213762965</v>
      </c>
      <c r="E83" s="71">
        <f t="shared" si="7"/>
        <v>3000.265778734703</v>
      </c>
      <c r="F83" s="71">
        <f t="shared" si="8"/>
        <v>153013.55471547018</v>
      </c>
    </row>
    <row r="84" spans="1:6" ht="15.6" x14ac:dyDescent="0.3">
      <c r="A84" s="70">
        <v>70</v>
      </c>
      <c r="B84" s="71">
        <f t="shared" si="9"/>
        <v>153013.55471547018</v>
      </c>
      <c r="C84" s="69">
        <f t="shared" si="5"/>
        <v>988.21254087074487</v>
      </c>
      <c r="D84" s="71">
        <f t="shared" si="6"/>
        <v>2012.0532378639582</v>
      </c>
      <c r="E84" s="71">
        <f t="shared" si="7"/>
        <v>3000.265778734703</v>
      </c>
      <c r="F84" s="71">
        <f t="shared" si="8"/>
        <v>150013.28893673548</v>
      </c>
    </row>
    <row r="85" spans="1:6" ht="15.6" x14ac:dyDescent="0.3">
      <c r="A85" s="70">
        <v>71</v>
      </c>
      <c r="B85" s="71">
        <f t="shared" si="9"/>
        <v>150013.28893673548</v>
      </c>
      <c r="C85" s="69">
        <f t="shared" si="5"/>
        <v>968.83582438308326</v>
      </c>
      <c r="D85" s="71">
        <f t="shared" si="6"/>
        <v>2031.4299543516197</v>
      </c>
      <c r="E85" s="71">
        <f t="shared" si="7"/>
        <v>3000.265778734703</v>
      </c>
      <c r="F85" s="71">
        <f t="shared" si="8"/>
        <v>147013.02315800078</v>
      </c>
    </row>
    <row r="86" spans="1:6" ht="15.6" x14ac:dyDescent="0.3">
      <c r="A86" s="70">
        <v>72</v>
      </c>
      <c r="B86" s="71">
        <f t="shared" si="9"/>
        <v>147013.02315800078</v>
      </c>
      <c r="C86" s="69">
        <f t="shared" si="5"/>
        <v>949.45910789542177</v>
      </c>
      <c r="D86" s="71">
        <f t="shared" si="6"/>
        <v>2050.8066708392812</v>
      </c>
      <c r="E86" s="71">
        <f t="shared" si="7"/>
        <v>3000.265778734703</v>
      </c>
      <c r="F86" s="71">
        <f t="shared" si="8"/>
        <v>144012.75737926608</v>
      </c>
    </row>
    <row r="87" spans="1:6" ht="15.6" x14ac:dyDescent="0.3">
      <c r="A87" s="70">
        <v>73</v>
      </c>
      <c r="B87" s="71">
        <f t="shared" si="9"/>
        <v>144012.75737926608</v>
      </c>
      <c r="C87" s="69">
        <f t="shared" si="5"/>
        <v>930.08239140776016</v>
      </c>
      <c r="D87" s="71">
        <f t="shared" si="6"/>
        <v>2070.1833873269429</v>
      </c>
      <c r="E87" s="71">
        <f t="shared" si="7"/>
        <v>3000.265778734703</v>
      </c>
      <c r="F87" s="71">
        <f t="shared" si="8"/>
        <v>141012.49160053139</v>
      </c>
    </row>
    <row r="88" spans="1:6" ht="15.6" x14ac:dyDescent="0.3">
      <c r="A88" s="70">
        <v>74</v>
      </c>
      <c r="B88" s="71">
        <f t="shared" si="9"/>
        <v>141012.49160053139</v>
      </c>
      <c r="C88" s="69">
        <f t="shared" si="5"/>
        <v>910.70567492009855</v>
      </c>
      <c r="D88" s="71">
        <f t="shared" si="6"/>
        <v>2089.5601038146042</v>
      </c>
      <c r="E88" s="71">
        <f t="shared" si="7"/>
        <v>3000.2657787347025</v>
      </c>
      <c r="F88" s="71">
        <f t="shared" si="8"/>
        <v>138012.22582179669</v>
      </c>
    </row>
    <row r="89" spans="1:6" ht="15.6" x14ac:dyDescent="0.3">
      <c r="A89" s="70">
        <v>75</v>
      </c>
      <c r="B89" s="71">
        <f t="shared" si="9"/>
        <v>138012.22582179669</v>
      </c>
      <c r="C89" s="69">
        <f t="shared" si="5"/>
        <v>891.32895843243693</v>
      </c>
      <c r="D89" s="71">
        <f t="shared" si="6"/>
        <v>2108.9368203022659</v>
      </c>
      <c r="E89" s="71">
        <f t="shared" si="7"/>
        <v>3000.265778734703</v>
      </c>
      <c r="F89" s="71">
        <f t="shared" si="8"/>
        <v>135011.96004306199</v>
      </c>
    </row>
    <row r="90" spans="1:6" ht="15.6" x14ac:dyDescent="0.3">
      <c r="A90" s="70">
        <v>76</v>
      </c>
      <c r="B90" s="71">
        <f t="shared" si="9"/>
        <v>135011.96004306199</v>
      </c>
      <c r="C90" s="69">
        <f t="shared" si="5"/>
        <v>871.95224194477532</v>
      </c>
      <c r="D90" s="71">
        <f t="shared" si="6"/>
        <v>2128.3135367899276</v>
      </c>
      <c r="E90" s="71">
        <f t="shared" si="7"/>
        <v>3000.265778734703</v>
      </c>
      <c r="F90" s="71">
        <f t="shared" si="8"/>
        <v>132011.69426432729</v>
      </c>
    </row>
    <row r="91" spans="1:6" ht="15.6" x14ac:dyDescent="0.3">
      <c r="A91" s="70">
        <v>77</v>
      </c>
      <c r="B91" s="71">
        <f t="shared" si="9"/>
        <v>132011.69426432729</v>
      </c>
      <c r="C91" s="69">
        <f t="shared" si="5"/>
        <v>852.57552545711371</v>
      </c>
      <c r="D91" s="71">
        <f t="shared" si="6"/>
        <v>2147.6902532775894</v>
      </c>
      <c r="E91" s="71">
        <f t="shared" si="7"/>
        <v>3000.265778734703</v>
      </c>
      <c r="F91" s="71">
        <f t="shared" si="8"/>
        <v>129011.42848559259</v>
      </c>
    </row>
    <row r="92" spans="1:6" ht="15.6" x14ac:dyDescent="0.3">
      <c r="A92" s="70">
        <v>78</v>
      </c>
      <c r="B92" s="71">
        <f t="shared" si="9"/>
        <v>129011.42848559259</v>
      </c>
      <c r="C92" s="69">
        <f t="shared" si="5"/>
        <v>833.19880896945222</v>
      </c>
      <c r="D92" s="71">
        <f t="shared" si="6"/>
        <v>2167.0669697652506</v>
      </c>
      <c r="E92" s="71">
        <f t="shared" si="7"/>
        <v>3000.265778734703</v>
      </c>
      <c r="F92" s="71">
        <f t="shared" si="8"/>
        <v>126011.1627068579</v>
      </c>
    </row>
    <row r="93" spans="1:6" ht="15.6" x14ac:dyDescent="0.3">
      <c r="A93" s="70">
        <v>79</v>
      </c>
      <c r="B93" s="71">
        <f t="shared" si="9"/>
        <v>126011.1627068579</v>
      </c>
      <c r="C93" s="69">
        <f t="shared" si="5"/>
        <v>813.82209248179061</v>
      </c>
      <c r="D93" s="71">
        <f t="shared" si="6"/>
        <v>2186.4436862529124</v>
      </c>
      <c r="E93" s="71">
        <f t="shared" si="7"/>
        <v>3000.265778734703</v>
      </c>
      <c r="F93" s="71">
        <f t="shared" si="8"/>
        <v>123010.8969281232</v>
      </c>
    </row>
    <row r="94" spans="1:6" ht="15.6" x14ac:dyDescent="0.3">
      <c r="A94" s="70">
        <v>80</v>
      </c>
      <c r="B94" s="71">
        <f t="shared" si="9"/>
        <v>123010.8969281232</v>
      </c>
      <c r="C94" s="69">
        <f t="shared" si="5"/>
        <v>794.44537599412899</v>
      </c>
      <c r="D94" s="71">
        <f t="shared" si="6"/>
        <v>2205.8204027405741</v>
      </c>
      <c r="E94" s="71">
        <f t="shared" si="7"/>
        <v>3000.265778734703</v>
      </c>
      <c r="F94" s="71">
        <f t="shared" si="8"/>
        <v>120010.6311493885</v>
      </c>
    </row>
    <row r="95" spans="1:6" ht="15.6" x14ac:dyDescent="0.3">
      <c r="A95" s="70">
        <v>81</v>
      </c>
      <c r="B95" s="71">
        <f t="shared" si="9"/>
        <v>120010.6311493885</v>
      </c>
      <c r="C95" s="69">
        <f t="shared" si="5"/>
        <v>775.06865950646738</v>
      </c>
      <c r="D95" s="71">
        <f t="shared" si="6"/>
        <v>2225.1971192282354</v>
      </c>
      <c r="E95" s="71">
        <f t="shared" si="7"/>
        <v>3000.2657787347025</v>
      </c>
      <c r="F95" s="71">
        <f t="shared" si="8"/>
        <v>117010.3653706538</v>
      </c>
    </row>
    <row r="96" spans="1:6" ht="15.6" x14ac:dyDescent="0.3">
      <c r="A96" s="70">
        <v>82</v>
      </c>
      <c r="B96" s="71">
        <f t="shared" si="9"/>
        <v>117010.3653706538</v>
      </c>
      <c r="C96" s="69">
        <f t="shared" si="5"/>
        <v>755.69194301880577</v>
      </c>
      <c r="D96" s="71">
        <f t="shared" si="6"/>
        <v>2244.5738357158971</v>
      </c>
      <c r="E96" s="71">
        <f t="shared" si="7"/>
        <v>3000.265778734703</v>
      </c>
      <c r="F96" s="71">
        <f t="shared" si="8"/>
        <v>114010.0995919191</v>
      </c>
    </row>
    <row r="97" spans="1:6" ht="15.6" x14ac:dyDescent="0.3">
      <c r="A97" s="70">
        <v>83</v>
      </c>
      <c r="B97" s="71">
        <f t="shared" si="9"/>
        <v>114010.0995919191</v>
      </c>
      <c r="C97" s="69">
        <f t="shared" si="5"/>
        <v>736.31522653114416</v>
      </c>
      <c r="D97" s="71">
        <f t="shared" si="6"/>
        <v>2263.9505522035588</v>
      </c>
      <c r="E97" s="71">
        <f t="shared" si="7"/>
        <v>3000.265778734703</v>
      </c>
      <c r="F97" s="71">
        <f t="shared" si="8"/>
        <v>111009.83381318441</v>
      </c>
    </row>
    <row r="98" spans="1:6" ht="15.6" x14ac:dyDescent="0.3">
      <c r="A98" s="70">
        <v>84</v>
      </c>
      <c r="B98" s="71">
        <f t="shared" si="9"/>
        <v>111009.83381318441</v>
      </c>
      <c r="C98" s="69">
        <f t="shared" si="5"/>
        <v>716.93851004348267</v>
      </c>
      <c r="D98" s="71">
        <f t="shared" si="6"/>
        <v>2283.3272686912205</v>
      </c>
      <c r="E98" s="71">
        <f t="shared" si="7"/>
        <v>3000.2657787347034</v>
      </c>
      <c r="F98" s="71">
        <f t="shared" si="8"/>
        <v>108009.56803444971</v>
      </c>
    </row>
    <row r="99" spans="1:6" ht="15.6" x14ac:dyDescent="0.3">
      <c r="A99" s="70">
        <v>85</v>
      </c>
      <c r="B99" s="71">
        <f t="shared" si="9"/>
        <v>108009.56803444971</v>
      </c>
      <c r="C99" s="69">
        <f t="shared" si="5"/>
        <v>697.56179355582105</v>
      </c>
      <c r="D99" s="71">
        <f t="shared" si="6"/>
        <v>2302.7039851788818</v>
      </c>
      <c r="E99" s="71">
        <f t="shared" si="7"/>
        <v>3000.265778734703</v>
      </c>
      <c r="F99" s="71">
        <f t="shared" si="8"/>
        <v>105009.30225571501</v>
      </c>
    </row>
    <row r="100" spans="1:6" ht="15.6" x14ac:dyDescent="0.3">
      <c r="A100" s="70">
        <v>86</v>
      </c>
      <c r="B100" s="71">
        <f t="shared" si="9"/>
        <v>105009.30225571501</v>
      </c>
      <c r="C100" s="69">
        <f t="shared" si="5"/>
        <v>678.18507706815944</v>
      </c>
      <c r="D100" s="71">
        <f t="shared" si="6"/>
        <v>2322.0807016665435</v>
      </c>
      <c r="E100" s="71">
        <f t="shared" si="7"/>
        <v>3000.265778734703</v>
      </c>
      <c r="F100" s="71">
        <f t="shared" si="8"/>
        <v>102009.03647698031</v>
      </c>
    </row>
    <row r="101" spans="1:6" ht="15.6" x14ac:dyDescent="0.3">
      <c r="A101" s="70">
        <v>87</v>
      </c>
      <c r="B101" s="71">
        <f t="shared" si="9"/>
        <v>102009.03647698031</v>
      </c>
      <c r="C101" s="69">
        <f t="shared" si="5"/>
        <v>658.80836058049783</v>
      </c>
      <c r="D101" s="71">
        <f t="shared" si="6"/>
        <v>2341.4574181542052</v>
      </c>
      <c r="E101" s="71">
        <f t="shared" si="7"/>
        <v>3000.265778734703</v>
      </c>
      <c r="F101" s="71">
        <f t="shared" si="8"/>
        <v>99008.770698245615</v>
      </c>
    </row>
    <row r="102" spans="1:6" ht="15.6" x14ac:dyDescent="0.3">
      <c r="A102" s="70">
        <v>88</v>
      </c>
      <c r="B102" s="71">
        <f t="shared" si="9"/>
        <v>99008.770698245615</v>
      </c>
      <c r="C102" s="69">
        <f t="shared" si="5"/>
        <v>639.43164409283622</v>
      </c>
      <c r="D102" s="71">
        <f t="shared" si="6"/>
        <v>2360.8341346418665</v>
      </c>
      <c r="E102" s="71">
        <f t="shared" si="7"/>
        <v>3000.2657787347025</v>
      </c>
      <c r="F102" s="71">
        <f t="shared" si="8"/>
        <v>96008.504919510917</v>
      </c>
    </row>
    <row r="103" spans="1:6" ht="15.6" x14ac:dyDescent="0.3">
      <c r="A103" s="70">
        <v>89</v>
      </c>
      <c r="B103" s="71">
        <f t="shared" si="9"/>
        <v>96008.504919510917</v>
      </c>
      <c r="C103" s="69">
        <f t="shared" si="5"/>
        <v>620.05492760517461</v>
      </c>
      <c r="D103" s="71">
        <f t="shared" si="6"/>
        <v>2380.2108511295282</v>
      </c>
      <c r="E103" s="71">
        <f t="shared" si="7"/>
        <v>3000.265778734703</v>
      </c>
      <c r="F103" s="71">
        <f t="shared" si="8"/>
        <v>93008.239140776219</v>
      </c>
    </row>
    <row r="104" spans="1:6" ht="15.6" x14ac:dyDescent="0.3">
      <c r="A104" s="70">
        <v>90</v>
      </c>
      <c r="B104" s="71">
        <f t="shared" si="9"/>
        <v>93008.239140776219</v>
      </c>
      <c r="C104" s="69">
        <f t="shared" si="5"/>
        <v>600.67821111751311</v>
      </c>
      <c r="D104" s="71">
        <f t="shared" si="6"/>
        <v>2399.58756761719</v>
      </c>
      <c r="E104" s="71">
        <f t="shared" si="7"/>
        <v>3000.265778734703</v>
      </c>
      <c r="F104" s="71">
        <f t="shared" si="8"/>
        <v>90007.973362041521</v>
      </c>
    </row>
    <row r="105" spans="1:6" ht="15.6" x14ac:dyDescent="0.3">
      <c r="A105" s="70">
        <v>91</v>
      </c>
      <c r="B105" s="71">
        <f t="shared" si="9"/>
        <v>90007.973362041521</v>
      </c>
      <c r="C105" s="69">
        <f t="shared" si="5"/>
        <v>581.3014946298515</v>
      </c>
      <c r="D105" s="71">
        <f t="shared" si="6"/>
        <v>2418.9642841048517</v>
      </c>
      <c r="E105" s="71">
        <f t="shared" si="7"/>
        <v>3000.2657787347034</v>
      </c>
      <c r="F105" s="71">
        <f t="shared" si="8"/>
        <v>87007.707583306823</v>
      </c>
    </row>
    <row r="106" spans="1:6" ht="15.6" x14ac:dyDescent="0.3">
      <c r="A106" s="70">
        <v>92</v>
      </c>
      <c r="B106" s="71">
        <f t="shared" si="9"/>
        <v>87007.707583306823</v>
      </c>
      <c r="C106" s="69">
        <f t="shared" si="5"/>
        <v>561.92477814218989</v>
      </c>
      <c r="D106" s="71">
        <f t="shared" si="6"/>
        <v>2438.341000592513</v>
      </c>
      <c r="E106" s="71">
        <f t="shared" si="7"/>
        <v>3000.265778734703</v>
      </c>
      <c r="F106" s="71">
        <f t="shared" si="8"/>
        <v>84007.441804572125</v>
      </c>
    </row>
    <row r="107" spans="1:6" ht="15.6" x14ac:dyDescent="0.3">
      <c r="A107" s="70">
        <v>93</v>
      </c>
      <c r="B107" s="71">
        <f t="shared" si="9"/>
        <v>84007.441804572125</v>
      </c>
      <c r="C107" s="69">
        <f t="shared" si="5"/>
        <v>542.54806165452828</v>
      </c>
      <c r="D107" s="71">
        <f t="shared" si="6"/>
        <v>2457.7177170801747</v>
      </c>
      <c r="E107" s="71">
        <f t="shared" si="7"/>
        <v>3000.265778734703</v>
      </c>
      <c r="F107" s="71">
        <f t="shared" si="8"/>
        <v>81007.176025837427</v>
      </c>
    </row>
    <row r="108" spans="1:6" ht="15.6" x14ac:dyDescent="0.3">
      <c r="A108" s="70">
        <v>94</v>
      </c>
      <c r="B108" s="71">
        <f t="shared" si="9"/>
        <v>81007.176025837427</v>
      </c>
      <c r="C108" s="69">
        <f t="shared" si="5"/>
        <v>523.17134516686667</v>
      </c>
      <c r="D108" s="71">
        <f t="shared" si="6"/>
        <v>2477.0944335678364</v>
      </c>
      <c r="E108" s="71">
        <f t="shared" si="7"/>
        <v>3000.265778734703</v>
      </c>
      <c r="F108" s="71">
        <f t="shared" si="8"/>
        <v>78006.910247102729</v>
      </c>
    </row>
    <row r="109" spans="1:6" ht="15.6" x14ac:dyDescent="0.3">
      <c r="A109" s="70">
        <v>95</v>
      </c>
      <c r="B109" s="71">
        <f t="shared" si="9"/>
        <v>78006.910247102729</v>
      </c>
      <c r="C109" s="69">
        <f t="shared" si="5"/>
        <v>503.79462867920512</v>
      </c>
      <c r="D109" s="71">
        <f t="shared" si="6"/>
        <v>2496.4711500554977</v>
      </c>
      <c r="E109" s="71">
        <f t="shared" si="7"/>
        <v>3000.265778734703</v>
      </c>
      <c r="F109" s="71">
        <f t="shared" si="8"/>
        <v>75006.644468368031</v>
      </c>
    </row>
    <row r="110" spans="1:6" ht="15.6" x14ac:dyDescent="0.3">
      <c r="A110" s="70">
        <v>96</v>
      </c>
      <c r="B110" s="71">
        <f t="shared" si="9"/>
        <v>75006.644468368031</v>
      </c>
      <c r="C110" s="69">
        <f t="shared" si="5"/>
        <v>484.41791219154351</v>
      </c>
      <c r="D110" s="71">
        <f t="shared" si="6"/>
        <v>2515.8478665431594</v>
      </c>
      <c r="E110" s="71">
        <f t="shared" si="7"/>
        <v>3000.265778734703</v>
      </c>
      <c r="F110" s="71">
        <f t="shared" si="8"/>
        <v>72006.378689633333</v>
      </c>
    </row>
    <row r="111" spans="1:6" ht="15.6" x14ac:dyDescent="0.3">
      <c r="A111" s="70">
        <v>97</v>
      </c>
      <c r="B111" s="71">
        <f t="shared" si="9"/>
        <v>72006.378689633333</v>
      </c>
      <c r="C111" s="69">
        <f t="shared" ref="C111:C134" si="10">B111*(Rate/12)</f>
        <v>465.04119570388195</v>
      </c>
      <c r="D111" s="71">
        <f t="shared" ref="D111:D134" si="11">Payment-C111</f>
        <v>2535.2245830308211</v>
      </c>
      <c r="E111" s="71">
        <f t="shared" si="7"/>
        <v>3000.265778734703</v>
      </c>
      <c r="F111" s="71">
        <f t="shared" si="8"/>
        <v>69006.112910898635</v>
      </c>
    </row>
    <row r="112" spans="1:6" ht="15.6" x14ac:dyDescent="0.3">
      <c r="A112" s="70">
        <v>98</v>
      </c>
      <c r="B112" s="71">
        <f t="shared" si="9"/>
        <v>69006.112910898635</v>
      </c>
      <c r="C112" s="69">
        <f t="shared" si="10"/>
        <v>445.66447921622034</v>
      </c>
      <c r="D112" s="71">
        <f t="shared" si="11"/>
        <v>2554.6012995184828</v>
      </c>
      <c r="E112" s="71">
        <f t="shared" si="7"/>
        <v>3000.2657787347034</v>
      </c>
      <c r="F112" s="71">
        <f t="shared" si="8"/>
        <v>66005.847132163937</v>
      </c>
    </row>
    <row r="113" spans="1:6" ht="15.6" x14ac:dyDescent="0.3">
      <c r="A113" s="70">
        <v>99</v>
      </c>
      <c r="B113" s="71">
        <f t="shared" si="9"/>
        <v>66005.847132163937</v>
      </c>
      <c r="C113" s="69">
        <f t="shared" si="10"/>
        <v>426.28776272855873</v>
      </c>
      <c r="D113" s="71">
        <f t="shared" si="11"/>
        <v>2573.9780160061441</v>
      </c>
      <c r="E113" s="71">
        <f t="shared" si="7"/>
        <v>3000.265778734703</v>
      </c>
      <c r="F113" s="71">
        <f t="shared" si="8"/>
        <v>63005.581353429232</v>
      </c>
    </row>
    <row r="114" spans="1:6" ht="15.6" x14ac:dyDescent="0.3">
      <c r="A114" s="70">
        <v>100</v>
      </c>
      <c r="B114" s="71">
        <f t="shared" si="9"/>
        <v>63005.581353429232</v>
      </c>
      <c r="C114" s="69">
        <f t="shared" si="10"/>
        <v>406.91104624089712</v>
      </c>
      <c r="D114" s="71">
        <f t="shared" si="11"/>
        <v>2593.3547324938058</v>
      </c>
      <c r="E114" s="71">
        <f t="shared" si="7"/>
        <v>3000.265778734703</v>
      </c>
      <c r="F114" s="71">
        <f t="shared" si="8"/>
        <v>60005.315574694527</v>
      </c>
    </row>
    <row r="115" spans="1:6" ht="15.6" x14ac:dyDescent="0.3">
      <c r="A115" s="70">
        <v>101</v>
      </c>
      <c r="B115" s="71">
        <f t="shared" si="9"/>
        <v>60005.315574694527</v>
      </c>
      <c r="C115" s="69">
        <f t="shared" si="10"/>
        <v>387.53432975323545</v>
      </c>
      <c r="D115" s="71">
        <f t="shared" si="11"/>
        <v>2612.7314489814676</v>
      </c>
      <c r="E115" s="71">
        <f t="shared" si="7"/>
        <v>3000.265778734703</v>
      </c>
      <c r="F115" s="71">
        <f t="shared" si="8"/>
        <v>57005.049795959821</v>
      </c>
    </row>
    <row r="116" spans="1:6" ht="15.6" x14ac:dyDescent="0.3">
      <c r="A116" s="70">
        <v>102</v>
      </c>
      <c r="B116" s="71">
        <f t="shared" si="9"/>
        <v>57005.049795959821</v>
      </c>
      <c r="C116" s="69">
        <f t="shared" si="10"/>
        <v>368.15761326557384</v>
      </c>
      <c r="D116" s="71">
        <f t="shared" si="11"/>
        <v>2632.1081654691293</v>
      </c>
      <c r="E116" s="71">
        <f t="shared" si="7"/>
        <v>3000.265778734703</v>
      </c>
      <c r="F116" s="71">
        <f t="shared" si="8"/>
        <v>54004.784017225116</v>
      </c>
    </row>
    <row r="117" spans="1:6" ht="15.6" x14ac:dyDescent="0.3">
      <c r="A117" s="70">
        <v>103</v>
      </c>
      <c r="B117" s="71">
        <f t="shared" si="9"/>
        <v>54004.784017225116</v>
      </c>
      <c r="C117" s="69">
        <f t="shared" si="10"/>
        <v>348.78089677791223</v>
      </c>
      <c r="D117" s="71">
        <f t="shared" si="11"/>
        <v>2651.4848819567906</v>
      </c>
      <c r="E117" s="71">
        <f t="shared" si="7"/>
        <v>3000.265778734703</v>
      </c>
      <c r="F117" s="71">
        <f t="shared" si="8"/>
        <v>51004.518238490411</v>
      </c>
    </row>
    <row r="118" spans="1:6" ht="15.6" x14ac:dyDescent="0.3">
      <c r="A118" s="70">
        <v>104</v>
      </c>
      <c r="B118" s="71">
        <f t="shared" si="9"/>
        <v>51004.518238490411</v>
      </c>
      <c r="C118" s="69">
        <f t="shared" si="10"/>
        <v>329.40418029025057</v>
      </c>
      <c r="D118" s="71">
        <f t="shared" si="11"/>
        <v>2670.8615984444523</v>
      </c>
      <c r="E118" s="71">
        <f t="shared" si="7"/>
        <v>3000.265778734703</v>
      </c>
      <c r="F118" s="71">
        <f t="shared" si="8"/>
        <v>48004.252459755706</v>
      </c>
    </row>
    <row r="119" spans="1:6" ht="15.6" x14ac:dyDescent="0.3">
      <c r="A119" s="70">
        <v>105</v>
      </c>
      <c r="B119" s="71">
        <f t="shared" si="9"/>
        <v>48004.252459755706</v>
      </c>
      <c r="C119" s="69">
        <f t="shared" si="10"/>
        <v>310.02746380258895</v>
      </c>
      <c r="D119" s="71">
        <f t="shared" si="11"/>
        <v>2690.238314932114</v>
      </c>
      <c r="E119" s="71">
        <f t="shared" si="7"/>
        <v>3000.265778734703</v>
      </c>
      <c r="F119" s="71">
        <f t="shared" si="8"/>
        <v>45003.986681021001</v>
      </c>
    </row>
    <row r="120" spans="1:6" ht="15.6" x14ac:dyDescent="0.3">
      <c r="A120" s="70">
        <v>106</v>
      </c>
      <c r="B120" s="71">
        <f t="shared" si="9"/>
        <v>45003.986681021001</v>
      </c>
      <c r="C120" s="69">
        <f t="shared" si="10"/>
        <v>290.65074731492729</v>
      </c>
      <c r="D120" s="71">
        <f t="shared" si="11"/>
        <v>2709.6150314197757</v>
      </c>
      <c r="E120" s="71">
        <f t="shared" si="7"/>
        <v>3000.265778734703</v>
      </c>
      <c r="F120" s="71">
        <f t="shared" si="8"/>
        <v>42003.720902286295</v>
      </c>
    </row>
    <row r="121" spans="1:6" ht="15.6" x14ac:dyDescent="0.3">
      <c r="A121" s="70">
        <v>107</v>
      </c>
      <c r="B121" s="71">
        <f t="shared" si="9"/>
        <v>42003.720902286295</v>
      </c>
      <c r="C121" s="69">
        <f t="shared" si="10"/>
        <v>271.27403082726568</v>
      </c>
      <c r="D121" s="71">
        <f t="shared" si="11"/>
        <v>2728.9917479074375</v>
      </c>
      <c r="E121" s="71">
        <f t="shared" si="7"/>
        <v>3000.265778734703</v>
      </c>
      <c r="F121" s="71">
        <f t="shared" si="8"/>
        <v>39003.45512355159</v>
      </c>
    </row>
    <row r="122" spans="1:6" ht="15.6" x14ac:dyDescent="0.3">
      <c r="A122" s="70">
        <v>108</v>
      </c>
      <c r="B122" s="71">
        <f t="shared" si="9"/>
        <v>39003.45512355159</v>
      </c>
      <c r="C122" s="69">
        <f t="shared" si="10"/>
        <v>251.89731433960401</v>
      </c>
      <c r="D122" s="71">
        <f t="shared" si="11"/>
        <v>2748.3684643950992</v>
      </c>
      <c r="E122" s="71">
        <f t="shared" si="7"/>
        <v>3000.2657787347034</v>
      </c>
      <c r="F122" s="71">
        <f t="shared" si="8"/>
        <v>36003.189344816885</v>
      </c>
    </row>
    <row r="123" spans="1:6" ht="15.6" x14ac:dyDescent="0.3">
      <c r="A123" s="70">
        <v>109</v>
      </c>
      <c r="B123" s="71">
        <f t="shared" si="9"/>
        <v>36003.189344816885</v>
      </c>
      <c r="C123" s="69">
        <f t="shared" si="10"/>
        <v>232.52059785194237</v>
      </c>
      <c r="D123" s="71">
        <f t="shared" si="11"/>
        <v>2767.7451808827605</v>
      </c>
      <c r="E123" s="71">
        <f t="shared" si="7"/>
        <v>3000.265778734703</v>
      </c>
      <c r="F123" s="71">
        <f t="shared" si="8"/>
        <v>33002.92356608218</v>
      </c>
    </row>
    <row r="124" spans="1:6" ht="15.6" x14ac:dyDescent="0.3">
      <c r="A124" s="70">
        <v>110</v>
      </c>
      <c r="B124" s="71">
        <f t="shared" si="9"/>
        <v>33002.92356608218</v>
      </c>
      <c r="C124" s="69">
        <f t="shared" si="10"/>
        <v>213.14388136428073</v>
      </c>
      <c r="D124" s="71">
        <f t="shared" si="11"/>
        <v>2787.1218973704222</v>
      </c>
      <c r="E124" s="71">
        <f t="shared" si="7"/>
        <v>3000.265778734703</v>
      </c>
      <c r="F124" s="71">
        <f t="shared" si="8"/>
        <v>30002.657787347478</v>
      </c>
    </row>
    <row r="125" spans="1:6" ht="15.6" x14ac:dyDescent="0.3">
      <c r="A125" s="70">
        <v>111</v>
      </c>
      <c r="B125" s="71">
        <f t="shared" si="9"/>
        <v>30002.657787347478</v>
      </c>
      <c r="C125" s="69">
        <f t="shared" si="10"/>
        <v>193.76716487661912</v>
      </c>
      <c r="D125" s="71">
        <f t="shared" si="11"/>
        <v>2806.4986138580839</v>
      </c>
      <c r="E125" s="71">
        <f t="shared" si="7"/>
        <v>3000.265778734703</v>
      </c>
      <c r="F125" s="71">
        <f t="shared" si="8"/>
        <v>27002.392008612776</v>
      </c>
    </row>
    <row r="126" spans="1:6" ht="15.6" x14ac:dyDescent="0.3">
      <c r="A126" s="70">
        <v>112</v>
      </c>
      <c r="B126" s="71">
        <f t="shared" si="9"/>
        <v>27002.392008612776</v>
      </c>
      <c r="C126" s="69">
        <f t="shared" si="10"/>
        <v>174.39044838895751</v>
      </c>
      <c r="D126" s="71">
        <f t="shared" si="11"/>
        <v>2825.8753303457456</v>
      </c>
      <c r="E126" s="71">
        <f t="shared" si="7"/>
        <v>3000.265778734703</v>
      </c>
      <c r="F126" s="71">
        <f t="shared" si="8"/>
        <v>24002.126229878075</v>
      </c>
    </row>
    <row r="127" spans="1:6" ht="15.6" x14ac:dyDescent="0.3">
      <c r="A127" s="70">
        <v>113</v>
      </c>
      <c r="B127" s="71">
        <f t="shared" si="9"/>
        <v>24002.126229878075</v>
      </c>
      <c r="C127" s="69">
        <f t="shared" si="10"/>
        <v>155.0137319012959</v>
      </c>
      <c r="D127" s="71">
        <f t="shared" si="11"/>
        <v>2845.2520468334069</v>
      </c>
      <c r="E127" s="71">
        <f t="shared" si="7"/>
        <v>3000.265778734703</v>
      </c>
      <c r="F127" s="71">
        <f t="shared" si="8"/>
        <v>21001.860451143373</v>
      </c>
    </row>
    <row r="128" spans="1:6" ht="15.6" x14ac:dyDescent="0.3">
      <c r="A128" s="70">
        <v>114</v>
      </c>
      <c r="B128" s="71">
        <f t="shared" si="9"/>
        <v>21001.860451143373</v>
      </c>
      <c r="C128" s="69">
        <f t="shared" si="10"/>
        <v>135.63701541363429</v>
      </c>
      <c r="D128" s="71">
        <f t="shared" si="11"/>
        <v>2864.6287633210686</v>
      </c>
      <c r="E128" s="71">
        <f t="shared" si="7"/>
        <v>3000.265778734703</v>
      </c>
      <c r="F128" s="71">
        <f t="shared" si="8"/>
        <v>18001.594672408672</v>
      </c>
    </row>
    <row r="129" spans="1:6" ht="15.6" x14ac:dyDescent="0.3">
      <c r="A129" s="70">
        <v>115</v>
      </c>
      <c r="B129" s="71">
        <f t="shared" si="9"/>
        <v>18001.594672408672</v>
      </c>
      <c r="C129" s="69">
        <f t="shared" si="10"/>
        <v>116.26029892597268</v>
      </c>
      <c r="D129" s="71">
        <f t="shared" si="11"/>
        <v>2884.0054798087303</v>
      </c>
      <c r="E129" s="71">
        <f t="shared" si="7"/>
        <v>3000.265778734703</v>
      </c>
      <c r="F129" s="71">
        <f t="shared" si="8"/>
        <v>15001.328893673968</v>
      </c>
    </row>
    <row r="130" spans="1:6" ht="15.6" x14ac:dyDescent="0.3">
      <c r="A130" s="70">
        <v>116</v>
      </c>
      <c r="B130" s="71">
        <f t="shared" si="9"/>
        <v>15001.328893673968</v>
      </c>
      <c r="C130" s="69">
        <f t="shared" si="10"/>
        <v>96.883582438311038</v>
      </c>
      <c r="D130" s="71">
        <f t="shared" si="11"/>
        <v>2903.3821962963921</v>
      </c>
      <c r="E130" s="71">
        <f t="shared" si="7"/>
        <v>3000.265778734703</v>
      </c>
      <c r="F130" s="71">
        <f t="shared" si="8"/>
        <v>12001.063114939265</v>
      </c>
    </row>
    <row r="131" spans="1:6" ht="15.6" x14ac:dyDescent="0.3">
      <c r="A131" s="70">
        <v>117</v>
      </c>
      <c r="B131" s="71">
        <f t="shared" si="9"/>
        <v>12001.063114939265</v>
      </c>
      <c r="C131" s="69">
        <f t="shared" si="10"/>
        <v>77.506865950649413</v>
      </c>
      <c r="D131" s="71">
        <f t="shared" si="11"/>
        <v>2922.7589127840533</v>
      </c>
      <c r="E131" s="71">
        <f t="shared" si="7"/>
        <v>3000.265778734703</v>
      </c>
      <c r="F131" s="71">
        <f t="shared" si="8"/>
        <v>9000.7973362045614</v>
      </c>
    </row>
    <row r="132" spans="1:6" ht="15.6" x14ac:dyDescent="0.3">
      <c r="A132" s="70">
        <v>118</v>
      </c>
      <c r="B132" s="71">
        <f t="shared" si="9"/>
        <v>9000.7973362045614</v>
      </c>
      <c r="C132" s="69">
        <f t="shared" si="10"/>
        <v>58.130149462987795</v>
      </c>
      <c r="D132" s="71">
        <f t="shared" si="11"/>
        <v>2942.1356292717151</v>
      </c>
      <c r="E132" s="71">
        <f t="shared" si="7"/>
        <v>3000.265778734703</v>
      </c>
      <c r="F132" s="71">
        <f t="shared" si="8"/>
        <v>6000.5315574698579</v>
      </c>
    </row>
    <row r="133" spans="1:6" ht="15.6" x14ac:dyDescent="0.3">
      <c r="A133" s="70">
        <v>119</v>
      </c>
      <c r="B133" s="71">
        <f t="shared" si="9"/>
        <v>6000.5315574698579</v>
      </c>
      <c r="C133" s="69">
        <f t="shared" si="10"/>
        <v>38.753432975326163</v>
      </c>
      <c r="D133" s="71">
        <f t="shared" si="11"/>
        <v>2961.5123457593768</v>
      </c>
      <c r="E133" s="71">
        <f t="shared" si="7"/>
        <v>3000.265778734703</v>
      </c>
      <c r="F133" s="71">
        <f t="shared" si="8"/>
        <v>3000.265778735155</v>
      </c>
    </row>
    <row r="134" spans="1:6" ht="15.6" x14ac:dyDescent="0.3">
      <c r="A134" s="70">
        <v>120</v>
      </c>
      <c r="B134" s="71">
        <f t="shared" si="9"/>
        <v>3000.265778735155</v>
      </c>
      <c r="C134" s="69">
        <f t="shared" si="10"/>
        <v>19.376716487664542</v>
      </c>
      <c r="D134" s="71">
        <f t="shared" si="11"/>
        <v>2980.8890622470385</v>
      </c>
      <c r="E134" s="71">
        <f t="shared" si="7"/>
        <v>3000.265778734703</v>
      </c>
      <c r="F134" s="71">
        <f t="shared" si="8"/>
        <v>4.5201886678114533E-10</v>
      </c>
    </row>
  </sheetData>
  <mergeCells count="2">
    <mergeCell ref="A1:F2"/>
    <mergeCell ref="A3:F3"/>
  </mergeCells>
  <pageMargins left="0.7" right="0.7" top="0.75" bottom="0.75" header="0.3" footer="0.3"/>
  <pageSetup scale="21" orientation="landscape" horizontalDpi="4294967293" verticalDpi="4294967293"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/>
  </sheetPr>
  <dimension ref="A1:E7"/>
  <sheetViews>
    <sheetView workbookViewId="0">
      <selection activeCell="E7" sqref="E7"/>
    </sheetView>
  </sheetViews>
  <sheetFormatPr defaultRowHeight="15.6" x14ac:dyDescent="0.3"/>
  <cols>
    <col min="1" max="1" width="16.77734375" bestFit="1" customWidth="1"/>
    <col min="2" max="2" width="17.88671875" customWidth="1"/>
    <col min="3" max="3" width="11.21875" customWidth="1"/>
    <col min="4" max="4" width="12.6640625" bestFit="1" customWidth="1"/>
    <col min="5" max="5" width="11.6640625" bestFit="1" customWidth="1"/>
  </cols>
  <sheetData>
    <row r="1" spans="1:5" ht="23.4" x14ac:dyDescent="0.45">
      <c r="A1" s="152" t="s">
        <v>185</v>
      </c>
      <c r="B1" s="152"/>
      <c r="C1" s="152"/>
      <c r="D1" s="152"/>
    </row>
    <row r="2" spans="1:5" x14ac:dyDescent="0.3">
      <c r="A2" t="s">
        <v>186</v>
      </c>
      <c r="B2" t="s">
        <v>187</v>
      </c>
      <c r="C2" t="s">
        <v>188</v>
      </c>
      <c r="D2" t="s">
        <v>180</v>
      </c>
      <c r="E2" t="s">
        <v>225</v>
      </c>
    </row>
    <row r="3" spans="1:5" x14ac:dyDescent="0.3">
      <c r="A3" t="s">
        <v>189</v>
      </c>
      <c r="B3" s="1">
        <v>30000</v>
      </c>
      <c r="C3">
        <v>2</v>
      </c>
      <c r="D3" s="81">
        <f>B3*C3</f>
        <v>60000</v>
      </c>
      <c r="E3" s="1">
        <f>StartingInventory[[#This Row],[Price Per Model]]*120%</f>
        <v>36000</v>
      </c>
    </row>
    <row r="4" spans="1:5" x14ac:dyDescent="0.3">
      <c r="A4" t="s">
        <v>190</v>
      </c>
      <c r="B4" s="128">
        <v>50000</v>
      </c>
      <c r="C4">
        <v>1</v>
      </c>
      <c r="D4" s="81">
        <f>B4*C4</f>
        <v>50000</v>
      </c>
      <c r="E4" s="1">
        <f>StartingInventory[[#This Row],[Price Per Model]]*120%</f>
        <v>60000</v>
      </c>
    </row>
    <row r="5" spans="1:5" x14ac:dyDescent="0.3">
      <c r="A5" t="s">
        <v>191</v>
      </c>
      <c r="B5" s="128">
        <v>20000</v>
      </c>
      <c r="C5">
        <v>3</v>
      </c>
      <c r="D5" s="81">
        <f>B5*C5</f>
        <v>60000</v>
      </c>
      <c r="E5" s="1">
        <f>StartingInventory[[#This Row],[Price Per Model]]*120%</f>
        <v>24000</v>
      </c>
    </row>
    <row r="6" spans="1:5" x14ac:dyDescent="0.3">
      <c r="A6" t="s">
        <v>192</v>
      </c>
      <c r="B6" s="128">
        <v>60000</v>
      </c>
      <c r="C6">
        <v>5</v>
      </c>
      <c r="D6" s="81">
        <f>B6*C6</f>
        <v>300000</v>
      </c>
      <c r="E6" s="1">
        <f>StartingInventory[[#This Row],[Price Per Model]]*120%</f>
        <v>72000</v>
      </c>
    </row>
    <row r="7" spans="1:5" x14ac:dyDescent="0.3">
      <c r="A7" t="s">
        <v>180</v>
      </c>
      <c r="B7" s="129">
        <f>SUBTOTAL(101,StartingInventory[Price Per Model])</f>
        <v>40000</v>
      </c>
      <c r="D7" s="81">
        <f>SUBTOTAL(109,StartingInventory[Total])</f>
        <v>470000</v>
      </c>
      <c r="E7" s="81">
        <f>SUBTOTAL(101,StartingInventory[Markup])</f>
        <v>48000</v>
      </c>
    </row>
  </sheetData>
  <mergeCells count="1">
    <mergeCell ref="A1:D1"/>
  </mergeCells>
  <pageMargins left="0.7" right="0.7" top="0.75" bottom="0.75" header="0.3" footer="0.3"/>
  <tableParts count="1">
    <tablePart r:id="rId1"/>
  </tablePar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B10"/>
  <sheetViews>
    <sheetView workbookViewId="0">
      <selection activeCell="B10" sqref="B10"/>
    </sheetView>
  </sheetViews>
  <sheetFormatPr defaultRowHeight="15.6" x14ac:dyDescent="0.3"/>
  <cols>
    <col min="1" max="1" width="19.77734375" bestFit="1" customWidth="1"/>
    <col min="2" max="2" width="11.44140625" customWidth="1"/>
  </cols>
  <sheetData>
    <row r="1" spans="1:2" x14ac:dyDescent="0.3">
      <c r="A1" t="s">
        <v>193</v>
      </c>
    </row>
    <row r="2" spans="1:2" x14ac:dyDescent="0.3">
      <c r="A2" t="s">
        <v>194</v>
      </c>
      <c r="B2" t="s">
        <v>195</v>
      </c>
    </row>
    <row r="3" spans="1:2" x14ac:dyDescent="0.3">
      <c r="A3" t="s">
        <v>196</v>
      </c>
      <c r="B3" s="1">
        <v>250</v>
      </c>
    </row>
    <row r="4" spans="1:2" x14ac:dyDescent="0.3">
      <c r="A4" t="s">
        <v>197</v>
      </c>
      <c r="B4" s="128">
        <v>300</v>
      </c>
    </row>
    <row r="5" spans="1:2" x14ac:dyDescent="0.3">
      <c r="A5" t="s">
        <v>198</v>
      </c>
      <c r="B5" s="128">
        <v>250</v>
      </c>
    </row>
    <row r="6" spans="1:2" x14ac:dyDescent="0.3">
      <c r="A6" t="s">
        <v>199</v>
      </c>
      <c r="B6" s="128">
        <v>170</v>
      </c>
    </row>
    <row r="7" spans="1:2" x14ac:dyDescent="0.3">
      <c r="A7" t="s">
        <v>200</v>
      </c>
      <c r="B7" s="128">
        <v>300</v>
      </c>
    </row>
    <row r="8" spans="1:2" x14ac:dyDescent="0.3">
      <c r="A8" t="s">
        <v>201</v>
      </c>
      <c r="B8" s="128">
        <v>625</v>
      </c>
    </row>
    <row r="9" spans="1:2" x14ac:dyDescent="0.3">
      <c r="A9" t="s">
        <v>202</v>
      </c>
      <c r="B9" s="128">
        <v>208</v>
      </c>
    </row>
    <row r="10" spans="1:2" x14ac:dyDescent="0.3">
      <c r="A10" t="s">
        <v>180</v>
      </c>
      <c r="B10" s="129">
        <f>SUBTOTAL(109,Table3[Premium])</f>
        <v>2103</v>
      </c>
    </row>
  </sheetData>
  <pageMargins left="0.7" right="0.7" top="0.75" bottom="0.75" header="0.3" footer="0.3"/>
  <legacyDrawing r:id="rId1"/>
  <tableParts count="1">
    <tablePart r:id="rId2"/>
  </tableParts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5"/>
  <sheetViews>
    <sheetView workbookViewId="0">
      <selection activeCell="B4" sqref="B4"/>
    </sheetView>
  </sheetViews>
  <sheetFormatPr defaultRowHeight="15.6" x14ac:dyDescent="0.3"/>
  <cols>
    <col min="1" max="1" width="22.33203125" bestFit="1" customWidth="1"/>
  </cols>
  <sheetData>
    <row r="1" spans="1:2" x14ac:dyDescent="0.3">
      <c r="A1" t="s">
        <v>203</v>
      </c>
      <c r="B1" t="s">
        <v>54</v>
      </c>
    </row>
    <row r="2" spans="1:2" x14ac:dyDescent="0.3">
      <c r="A2" t="s">
        <v>204</v>
      </c>
      <c r="B2" s="1">
        <v>145</v>
      </c>
    </row>
    <row r="3" spans="1:2" x14ac:dyDescent="0.3">
      <c r="A3" t="s">
        <v>205</v>
      </c>
      <c r="B3" s="128">
        <v>50</v>
      </c>
    </row>
    <row r="4" spans="1:2" x14ac:dyDescent="0.3">
      <c r="A4" t="s">
        <v>206</v>
      </c>
      <c r="B4" s="128">
        <v>70</v>
      </c>
    </row>
    <row r="5" spans="1:2" x14ac:dyDescent="0.3">
      <c r="A5" t="s">
        <v>180</v>
      </c>
      <c r="B5" s="129">
        <f>SUBTOTAL(109,Table4[Cost])</f>
        <v>265</v>
      </c>
    </row>
  </sheetData>
  <pageMargins left="0.7" right="0.7" top="0.75" bottom="0.75" header="0.3" footer="0.3"/>
  <tableParts count="1">
    <tablePart r:id="rId1"/>
  </tablePart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0"/>
  <sheetViews>
    <sheetView workbookViewId="0">
      <selection activeCell="D10" sqref="D10"/>
    </sheetView>
  </sheetViews>
  <sheetFormatPr defaultRowHeight="15.6" x14ac:dyDescent="0.3"/>
  <cols>
    <col min="1" max="1" width="15.88671875" bestFit="1" customWidth="1"/>
    <col min="2" max="2" width="11.21875" customWidth="1"/>
    <col min="3" max="3" width="10.21875" bestFit="1" customWidth="1"/>
    <col min="4" max="4" width="14.6640625" style="1" bestFit="1" customWidth="1"/>
  </cols>
  <sheetData>
    <row r="1" spans="1:4" ht="23.4" x14ac:dyDescent="0.45">
      <c r="A1" s="153" t="s">
        <v>208</v>
      </c>
      <c r="B1" s="153"/>
      <c r="C1" s="153"/>
      <c r="D1" s="153"/>
    </row>
    <row r="2" spans="1:4" x14ac:dyDescent="0.3">
      <c r="A2" t="s">
        <v>207</v>
      </c>
      <c r="B2" t="s">
        <v>188</v>
      </c>
      <c r="C2" t="s">
        <v>54</v>
      </c>
      <c r="D2" s="1" t="s">
        <v>211</v>
      </c>
    </row>
    <row r="3" spans="1:4" x14ac:dyDescent="0.3">
      <c r="A3" t="s">
        <v>209</v>
      </c>
      <c r="B3">
        <v>1</v>
      </c>
      <c r="C3" s="1">
        <v>200</v>
      </c>
      <c r="D3" s="1">
        <f>Table5[[#This Row],[Quantity]]*Table5[[#This Row],[Cost]]</f>
        <v>200</v>
      </c>
    </row>
    <row r="4" spans="1:4" x14ac:dyDescent="0.3">
      <c r="A4" t="s">
        <v>210</v>
      </c>
      <c r="B4">
        <v>5</v>
      </c>
      <c r="C4" s="128">
        <v>20</v>
      </c>
      <c r="D4" s="1">
        <f>Table5[[#This Row],[Quantity]]*Table5[[#This Row],[Cost]]</f>
        <v>100</v>
      </c>
    </row>
    <row r="5" spans="1:4" x14ac:dyDescent="0.3">
      <c r="A5" t="s">
        <v>212</v>
      </c>
      <c r="B5">
        <v>5</v>
      </c>
      <c r="C5" s="128">
        <v>100</v>
      </c>
      <c r="D5" s="1">
        <f>Table5[[#This Row],[Quantity]]*Table5[[#This Row],[Cost]]</f>
        <v>500</v>
      </c>
    </row>
    <row r="6" spans="1:4" x14ac:dyDescent="0.3">
      <c r="A6" t="s">
        <v>213</v>
      </c>
      <c r="B6">
        <v>5</v>
      </c>
      <c r="C6" s="128">
        <v>500</v>
      </c>
      <c r="D6" s="1">
        <f>Table5[[#This Row],[Quantity]]*Table5[[#This Row],[Cost]]</f>
        <v>2500</v>
      </c>
    </row>
    <row r="7" spans="1:4" x14ac:dyDescent="0.3">
      <c r="A7" t="s">
        <v>214</v>
      </c>
      <c r="B7">
        <v>1</v>
      </c>
      <c r="C7" s="128">
        <v>100</v>
      </c>
      <c r="D7" s="1">
        <f>Table5[[#This Row],[Quantity]]*Table5[[#This Row],[Cost]]</f>
        <v>100</v>
      </c>
    </row>
    <row r="8" spans="1:4" x14ac:dyDescent="0.3">
      <c r="A8" t="s">
        <v>215</v>
      </c>
      <c r="B8">
        <v>1</v>
      </c>
      <c r="C8" s="128">
        <v>1000</v>
      </c>
      <c r="D8" s="1">
        <f>Table5[[#This Row],[Quantity]]*Table5[[#This Row],[Cost]]</f>
        <v>1000</v>
      </c>
    </row>
    <row r="9" spans="1:4" x14ac:dyDescent="0.3">
      <c r="A9" t="s">
        <v>216</v>
      </c>
      <c r="B9">
        <v>1</v>
      </c>
      <c r="C9" s="128">
        <v>1000</v>
      </c>
      <c r="D9" s="1">
        <f>Table5[[#This Row],[Quantity]]*Table5[[#This Row],[Cost]]</f>
        <v>1000</v>
      </c>
    </row>
    <row r="10" spans="1:4" x14ac:dyDescent="0.3">
      <c r="A10" t="s">
        <v>180</v>
      </c>
      <c r="C10" s="129"/>
      <c r="D10" s="81">
        <f>SUBTOTAL(109,Table5[Total Cost])</f>
        <v>5400</v>
      </c>
    </row>
  </sheetData>
  <mergeCells count="1">
    <mergeCell ref="A1:D1"/>
  </mergeCells>
  <pageMargins left="0.7" right="0.7" top="0.75" bottom="0.75" header="0.3" footer="0.3"/>
  <tableParts count="1">
    <tablePart r:id="rId1"/>
  </tableParts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7"/>
  <sheetViews>
    <sheetView zoomScale="198" zoomScaleNormal="198" workbookViewId="0">
      <selection activeCell="A6" sqref="A6"/>
    </sheetView>
  </sheetViews>
  <sheetFormatPr defaultRowHeight="15.6" x14ac:dyDescent="0.3"/>
  <cols>
    <col min="1" max="2" width="11.21875" customWidth="1"/>
    <col min="3" max="3" width="11.6640625" bestFit="1" customWidth="1"/>
    <col min="4" max="4" width="16" bestFit="1" customWidth="1"/>
  </cols>
  <sheetData>
    <row r="1" spans="1:4" ht="23.4" x14ac:dyDescent="0.45">
      <c r="A1" s="152" t="s">
        <v>217</v>
      </c>
      <c r="B1" s="152"/>
      <c r="C1" s="152"/>
      <c r="D1" s="152"/>
    </row>
    <row r="2" spans="1:4" x14ac:dyDescent="0.3">
      <c r="A2" t="s">
        <v>218</v>
      </c>
      <c r="B2" t="s">
        <v>188</v>
      </c>
      <c r="C2" t="s">
        <v>219</v>
      </c>
      <c r="D2" t="s">
        <v>220</v>
      </c>
    </row>
    <row r="3" spans="1:4" x14ac:dyDescent="0.3">
      <c r="A3" t="s">
        <v>221</v>
      </c>
      <c r="B3">
        <v>3</v>
      </c>
      <c r="C3" s="1">
        <v>45000</v>
      </c>
      <c r="D3" s="1">
        <f>(C3/12)*Table9[Quantity]</f>
        <v>11250</v>
      </c>
    </row>
    <row r="4" spans="1:4" x14ac:dyDescent="0.3">
      <c r="A4" t="s">
        <v>222</v>
      </c>
      <c r="B4">
        <v>1</v>
      </c>
      <c r="C4" s="128">
        <v>25000</v>
      </c>
      <c r="D4" s="128">
        <f>(C4/12)*Table9[Quantity]</f>
        <v>2083.3333333333335</v>
      </c>
    </row>
    <row r="5" spans="1:4" x14ac:dyDescent="0.3">
      <c r="A5" t="s">
        <v>224</v>
      </c>
      <c r="B5">
        <v>2</v>
      </c>
      <c r="C5" s="128">
        <v>40000</v>
      </c>
      <c r="D5" s="128">
        <f>(C5/12)*Table9[Quantity]</f>
        <v>6666.666666666667</v>
      </c>
    </row>
    <row r="6" spans="1:4" x14ac:dyDescent="0.3">
      <c r="A6" t="s">
        <v>223</v>
      </c>
      <c r="B6">
        <v>1</v>
      </c>
      <c r="C6" s="128">
        <v>30000</v>
      </c>
      <c r="D6" s="128">
        <f>(C6/12)*Table9[Quantity]</f>
        <v>2500</v>
      </c>
    </row>
    <row r="7" spans="1:4" x14ac:dyDescent="0.3">
      <c r="A7" t="s">
        <v>180</v>
      </c>
      <c r="C7" s="130"/>
      <c r="D7" s="129">
        <f>SUBTOTAL(109,Table9[Monthly Cost])</f>
        <v>22500</v>
      </c>
    </row>
  </sheetData>
  <mergeCells count="1">
    <mergeCell ref="A1:D1"/>
  </mergeCells>
  <pageMargins left="0.7" right="0.7" top="0.75" bottom="0.75" header="0.3" footer="0.3"/>
  <tableParts count="1">
    <tablePart r:id="rId1"/>
  </tableParts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25"/>
  <sheetViews>
    <sheetView workbookViewId="0">
      <selection activeCell="K5" sqref="K5"/>
    </sheetView>
  </sheetViews>
  <sheetFormatPr defaultRowHeight="15.6" x14ac:dyDescent="0.3"/>
  <cols>
    <col min="1" max="1" width="11.44140625" customWidth="1"/>
    <col min="2" max="3" width="12.21875" bestFit="1" customWidth="1"/>
    <col min="4" max="4" width="21.44140625" customWidth="1"/>
  </cols>
  <sheetData>
    <row r="1" spans="1:4" x14ac:dyDescent="0.3">
      <c r="A1" t="s">
        <v>226</v>
      </c>
      <c r="B1" t="s">
        <v>227</v>
      </c>
      <c r="C1" t="s">
        <v>228</v>
      </c>
      <c r="D1" t="s">
        <v>229</v>
      </c>
    </row>
    <row r="2" spans="1:4" x14ac:dyDescent="0.3">
      <c r="A2" s="155">
        <v>43496</v>
      </c>
      <c r="B2" s="156">
        <v>550000</v>
      </c>
    </row>
    <row r="3" spans="1:4" x14ac:dyDescent="0.3">
      <c r="A3" s="155">
        <v>43524</v>
      </c>
      <c r="B3" s="156">
        <v>546000</v>
      </c>
    </row>
    <row r="4" spans="1:4" x14ac:dyDescent="0.3">
      <c r="A4" s="155">
        <v>43555</v>
      </c>
      <c r="B4" s="156">
        <v>547000</v>
      </c>
    </row>
    <row r="5" spans="1:4" x14ac:dyDescent="0.3">
      <c r="A5" s="155">
        <v>43585</v>
      </c>
      <c r="B5" s="156">
        <v>550000</v>
      </c>
    </row>
    <row r="6" spans="1:4" x14ac:dyDescent="0.3">
      <c r="A6" s="155">
        <v>43616</v>
      </c>
      <c r="B6" s="156">
        <v>551000</v>
      </c>
    </row>
    <row r="7" spans="1:4" x14ac:dyDescent="0.3">
      <c r="A7" s="155">
        <v>43646</v>
      </c>
      <c r="B7" s="156">
        <v>549000</v>
      </c>
    </row>
    <row r="8" spans="1:4" x14ac:dyDescent="0.3">
      <c r="A8" s="155">
        <v>43677</v>
      </c>
      <c r="B8" s="156">
        <v>548000</v>
      </c>
    </row>
    <row r="9" spans="1:4" x14ac:dyDescent="0.3">
      <c r="A9" s="155">
        <v>43708</v>
      </c>
      <c r="B9" s="156">
        <v>547000</v>
      </c>
    </row>
    <row r="10" spans="1:4" x14ac:dyDescent="0.3">
      <c r="A10" s="155">
        <v>43738</v>
      </c>
      <c r="B10" s="156">
        <v>552000</v>
      </c>
    </row>
    <row r="11" spans="1:4" x14ac:dyDescent="0.3">
      <c r="A11" s="155">
        <v>43769</v>
      </c>
      <c r="B11" s="156">
        <v>553000</v>
      </c>
    </row>
    <row r="12" spans="1:4" x14ac:dyDescent="0.3">
      <c r="A12" s="155">
        <v>43799</v>
      </c>
      <c r="B12" s="156">
        <v>545000</v>
      </c>
    </row>
    <row r="13" spans="1:4" x14ac:dyDescent="0.3">
      <c r="A13" s="155">
        <v>43830</v>
      </c>
      <c r="B13" s="156">
        <v>549000</v>
      </c>
    </row>
    <row r="14" spans="1:4" x14ac:dyDescent="0.3">
      <c r="A14" s="155">
        <v>43861</v>
      </c>
      <c r="C14" s="156">
        <f>_xlfn.FORECAST.ETS(A14,$B$2:$B$13,$A$2:$A$13,5,1)</f>
        <v>548003.82264725864</v>
      </c>
      <c r="D14" s="156">
        <f>_xlfn.FORECAST.ETS.CONFINT(A14,$B$2:$B$13,$A$2:$A$13,0.99,5,1)</f>
        <v>4776.3169694771013</v>
      </c>
    </row>
    <row r="15" spans="1:4" x14ac:dyDescent="0.3">
      <c r="A15" s="155">
        <v>43892</v>
      </c>
      <c r="C15" s="156">
        <f>_xlfn.FORECAST.ETS(A15,$B$2:$B$13,$A$2:$A$13,5,1)</f>
        <v>551961.56934770627</v>
      </c>
      <c r="D15" s="156">
        <f>_xlfn.FORECAST.ETS.CONFINT(A15,$B$2:$B$13,$A$2:$A$13,0.99,5,1)</f>
        <v>4814.6815010850769</v>
      </c>
    </row>
    <row r="16" spans="1:4" x14ac:dyDescent="0.3">
      <c r="A16" s="155">
        <v>43921</v>
      </c>
      <c r="C16" s="156">
        <f>_xlfn.FORECAST.ETS(A16,$B$2:$B$13,$A$2:$A$13,5,1)</f>
        <v>552250.61444572511</v>
      </c>
      <c r="D16" s="156">
        <f>_xlfn.FORECAST.ETS.CONFINT(A16,$B$2:$B$13,$A$2:$A$13,0.99,5,1)</f>
        <v>4853.3420946636315</v>
      </c>
    </row>
    <row r="17" spans="1:4" x14ac:dyDescent="0.3">
      <c r="A17" s="155">
        <v>43952</v>
      </c>
      <c r="C17" s="156">
        <f>_xlfn.FORECAST.ETS(A17,$B$2:$B$13,$A$2:$A$13,5,1)</f>
        <v>550222.07530027092</v>
      </c>
      <c r="D17" s="156">
        <f>_xlfn.FORECAST.ETS.CONFINT(A17,$B$2:$B$13,$A$2:$A$13,0.99,5,1)</f>
        <v>4892.296394552548</v>
      </c>
    </row>
    <row r="18" spans="1:4" x14ac:dyDescent="0.3">
      <c r="A18" s="155">
        <v>43982</v>
      </c>
      <c r="C18" s="156">
        <f>_xlfn.FORECAST.ETS(A18,$B$2:$B$13,$A$2:$A$13,5,1)</f>
        <v>548285.06829817861</v>
      </c>
      <c r="D18" s="156">
        <f>_xlfn.FORECAST.ETS.CONFINT(A18,$B$2:$B$13,$A$2:$A$13,0.99,5,1)</f>
        <v>4931.5420667629032</v>
      </c>
    </row>
    <row r="19" spans="1:4" x14ac:dyDescent="0.3">
      <c r="A19" s="155">
        <v>44013</v>
      </c>
      <c r="C19" s="156">
        <f>_xlfn.FORECAST.ETS(A19,$B$2:$B$13,$A$2:$A$13,5,1)</f>
        <v>548490.90907209006</v>
      </c>
      <c r="D19" s="156">
        <f>_xlfn.FORECAST.ETS.CONFINT(A19,$B$2:$B$13,$A$2:$A$13,0.99,5,1)</f>
        <v>4971.6802410392283</v>
      </c>
    </row>
    <row r="20" spans="1:4" x14ac:dyDescent="0.3">
      <c r="A20" s="155">
        <v>44043</v>
      </c>
      <c r="C20" s="156">
        <f>_xlfn.FORECAST.ETS(A20,$B$2:$B$13,$A$2:$A$13,5,1)</f>
        <v>552448.65577253758</v>
      </c>
      <c r="D20" s="156">
        <f>_xlfn.FORECAST.ETS.CONFINT(A20,$B$2:$B$13,$A$2:$A$13,0.99,5,1)</f>
        <v>5011.4969502163349</v>
      </c>
    </row>
    <row r="21" spans="1:4" x14ac:dyDescent="0.3">
      <c r="A21" s="155">
        <v>44074</v>
      </c>
      <c r="C21" s="156">
        <f>_xlfn.FORECAST.ETS(A21,$B$2:$B$13,$A$2:$A$13,5,1)</f>
        <v>552737.70087055652</v>
      </c>
      <c r="D21" s="156">
        <f>_xlfn.FORECAST.ETS.CONFINT(A21,$B$2:$B$13,$A$2:$A$13,0.99,5,1)</f>
        <v>5051.598206896555</v>
      </c>
    </row>
    <row r="22" spans="1:4" x14ac:dyDescent="0.3">
      <c r="A22" s="155">
        <v>44105</v>
      </c>
      <c r="C22" s="156">
        <f>_xlfn.FORECAST.ETS(A22,$B$2:$B$13,$A$2:$A$13,5,1)</f>
        <v>550709.16172510223</v>
      </c>
      <c r="D22" s="156">
        <f>_xlfn.FORECAST.ETS.CONFINT(A22,$B$2:$B$13,$A$2:$A$13,0.99,5,1)</f>
        <v>5091.9817685480848</v>
      </c>
    </row>
    <row r="23" spans="1:4" x14ac:dyDescent="0.3">
      <c r="A23" s="155">
        <v>44135</v>
      </c>
      <c r="C23" s="156">
        <f>_xlfn.FORECAST.ETS(A23,$B$2:$B$13,$A$2:$A$13,5,1)</f>
        <v>548772.15472301003</v>
      </c>
      <c r="D23" s="156">
        <f>_xlfn.FORECAST.ETS.CONFINT(A23,$B$2:$B$13,$A$2:$A$13,0.99,5,1)</f>
        <v>5132.6454163863636</v>
      </c>
    </row>
    <row r="24" spans="1:4" x14ac:dyDescent="0.3">
      <c r="A24" s="155">
        <v>44166</v>
      </c>
      <c r="C24" s="156">
        <f>_xlfn.FORECAST.ETS(A24,$B$2:$B$13,$A$2:$A$13,5,1)</f>
        <v>548977.99549692136</v>
      </c>
      <c r="D24" s="156">
        <f>_xlfn.FORECAST.ETS.CONFINT(A24,$B$2:$B$13,$A$2:$A$13,0.99,5,1)</f>
        <v>5174.1888245734881</v>
      </c>
    </row>
    <row r="25" spans="1:4" x14ac:dyDescent="0.3">
      <c r="A25" s="155">
        <v>44196</v>
      </c>
      <c r="C25" s="156">
        <f>_xlfn.FORECAST.ETS(A25,$B$2:$B$13,$A$2:$A$13,5,1)</f>
        <v>552935.74219736899</v>
      </c>
      <c r="D25" s="156">
        <f>_xlfn.FORECAST.ETS.CONFINT(A25,$B$2:$B$13,$A$2:$A$13,0.99,5,1)</f>
        <v>5215.4013282134292</v>
      </c>
    </row>
  </sheetData>
  <pageMargins left="0.7" right="0.7" top="0.75" bottom="0.75" header="0.3" footer="0.3"/>
  <drawing r:id="rId1"/>
  <tableParts count="1">
    <tablePart r:id="rId2"/>
  </tableParts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07"/>
  <sheetViews>
    <sheetView topLeftCell="A76" workbookViewId="0">
      <selection activeCell="A34" sqref="A34"/>
    </sheetView>
  </sheetViews>
  <sheetFormatPr defaultColWidth="11" defaultRowHeight="15.6" x14ac:dyDescent="0.3"/>
  <cols>
    <col min="1" max="1" width="45.6640625" customWidth="1"/>
  </cols>
  <sheetData>
    <row r="1" spans="1:1" x14ac:dyDescent="0.3">
      <c r="A1" t="s">
        <v>9</v>
      </c>
    </row>
    <row r="2" spans="1:1" x14ac:dyDescent="0.3">
      <c r="A2" t="s">
        <v>12</v>
      </c>
    </row>
    <row r="3" spans="1:1" x14ac:dyDescent="0.3">
      <c r="A3" t="s">
        <v>11</v>
      </c>
    </row>
    <row r="5" spans="1:1" x14ac:dyDescent="0.3">
      <c r="A5" t="s">
        <v>4</v>
      </c>
    </row>
    <row r="6" spans="1:1" x14ac:dyDescent="0.3">
      <c r="A6" t="s">
        <v>17</v>
      </c>
    </row>
    <row r="7" spans="1:1" x14ac:dyDescent="0.3">
      <c r="A7" t="s">
        <v>18</v>
      </c>
    </row>
    <row r="8" spans="1:1" x14ac:dyDescent="0.3">
      <c r="A8" t="s">
        <v>2</v>
      </c>
    </row>
    <row r="9" spans="1:1" x14ac:dyDescent="0.3">
      <c r="A9" t="s">
        <v>19</v>
      </c>
    </row>
    <row r="10" spans="1:1" x14ac:dyDescent="0.3">
      <c r="A10" t="s">
        <v>20</v>
      </c>
    </row>
    <row r="11" spans="1:1" x14ac:dyDescent="0.3">
      <c r="A11" t="s">
        <v>21</v>
      </c>
    </row>
    <row r="12" spans="1:1" x14ac:dyDescent="0.3">
      <c r="A12" t="s">
        <v>22</v>
      </c>
    </row>
    <row r="13" spans="1:1" x14ac:dyDescent="0.3">
      <c r="A13" s="14" t="s">
        <v>134</v>
      </c>
    </row>
    <row r="14" spans="1:1" x14ac:dyDescent="0.3">
      <c r="A14" s="14" t="s">
        <v>135</v>
      </c>
    </row>
    <row r="15" spans="1:1" x14ac:dyDescent="0.3">
      <c r="A15" t="s">
        <v>25</v>
      </c>
    </row>
    <row r="16" spans="1:1" x14ac:dyDescent="0.3">
      <c r="A16" t="s">
        <v>26</v>
      </c>
    </row>
    <row r="17" spans="1:1" x14ac:dyDescent="0.3">
      <c r="A17" t="s">
        <v>27</v>
      </c>
    </row>
    <row r="18" spans="1:1" x14ac:dyDescent="0.3">
      <c r="A18" s="14" t="s">
        <v>136</v>
      </c>
    </row>
    <row r="19" spans="1:1" x14ac:dyDescent="0.3">
      <c r="A19" s="14" t="s">
        <v>137</v>
      </c>
    </row>
    <row r="20" spans="1:1" x14ac:dyDescent="0.3">
      <c r="A20" t="s">
        <v>31</v>
      </c>
    </row>
    <row r="21" spans="1:1" x14ac:dyDescent="0.3">
      <c r="A21" t="s">
        <v>132</v>
      </c>
    </row>
    <row r="22" spans="1:1" x14ac:dyDescent="0.3">
      <c r="A22" t="s">
        <v>7</v>
      </c>
    </row>
    <row r="23" spans="1:1" x14ac:dyDescent="0.3">
      <c r="A23" s="14" t="s">
        <v>32</v>
      </c>
    </row>
    <row r="24" spans="1:1" x14ac:dyDescent="0.3">
      <c r="A24" s="14" t="s">
        <v>128</v>
      </c>
    </row>
    <row r="25" spans="1:1" x14ac:dyDescent="0.3">
      <c r="A25" t="s">
        <v>34</v>
      </c>
    </row>
    <row r="26" spans="1:1" x14ac:dyDescent="0.3">
      <c r="A26" t="s">
        <v>133</v>
      </c>
    </row>
    <row r="27" spans="1:1" x14ac:dyDescent="0.3">
      <c r="A27" t="s">
        <v>8</v>
      </c>
    </row>
    <row r="28" spans="1:1" x14ac:dyDescent="0.3">
      <c r="A28" t="s">
        <v>35</v>
      </c>
    </row>
    <row r="30" spans="1:1" x14ac:dyDescent="0.3">
      <c r="A30" t="s">
        <v>87</v>
      </c>
    </row>
    <row r="31" spans="1:1" x14ac:dyDescent="0.3">
      <c r="A31" t="s">
        <v>86</v>
      </c>
    </row>
    <row r="32" spans="1:1" x14ac:dyDescent="0.3">
      <c r="A32" t="s">
        <v>84</v>
      </c>
    </row>
    <row r="33" spans="1:1" x14ac:dyDescent="0.3">
      <c r="A33" t="s">
        <v>85</v>
      </c>
    </row>
    <row r="35" spans="1:1" x14ac:dyDescent="0.3">
      <c r="A35" t="s">
        <v>42</v>
      </c>
    </row>
    <row r="36" spans="1:1" x14ac:dyDescent="0.3">
      <c r="A36" t="s">
        <v>88</v>
      </c>
    </row>
    <row r="37" spans="1:1" x14ac:dyDescent="0.3">
      <c r="A37" t="s">
        <v>43</v>
      </c>
    </row>
    <row r="38" spans="1:1" x14ac:dyDescent="0.3">
      <c r="A38" t="s">
        <v>44</v>
      </c>
    </row>
    <row r="39" spans="1:1" x14ac:dyDescent="0.3">
      <c r="A39" t="s">
        <v>45</v>
      </c>
    </row>
    <row r="40" spans="1:1" x14ac:dyDescent="0.3">
      <c r="A40" t="s">
        <v>88</v>
      </c>
    </row>
    <row r="41" spans="1:1" x14ac:dyDescent="0.3">
      <c r="A41" t="s">
        <v>54</v>
      </c>
    </row>
    <row r="42" spans="1:1" x14ac:dyDescent="0.3">
      <c r="A42" t="s">
        <v>55</v>
      </c>
    </row>
    <row r="43" spans="1:1" x14ac:dyDescent="0.3">
      <c r="A43" t="s">
        <v>56</v>
      </c>
    </row>
    <row r="45" spans="1:1" x14ac:dyDescent="0.3">
      <c r="A45" t="s">
        <v>58</v>
      </c>
    </row>
    <row r="47" spans="1:1" x14ac:dyDescent="0.3">
      <c r="A47" t="s">
        <v>59</v>
      </c>
    </row>
    <row r="49" spans="1:13" x14ac:dyDescent="0.3">
      <c r="A49">
        <v>0</v>
      </c>
      <c r="B49">
        <v>1</v>
      </c>
      <c r="C49">
        <v>2</v>
      </c>
      <c r="D49">
        <v>3</v>
      </c>
      <c r="E49">
        <v>4</v>
      </c>
      <c r="F49">
        <v>5</v>
      </c>
      <c r="G49">
        <v>6</v>
      </c>
      <c r="H49">
        <v>7</v>
      </c>
      <c r="I49">
        <v>8</v>
      </c>
      <c r="J49">
        <v>9</v>
      </c>
      <c r="K49">
        <v>10</v>
      </c>
      <c r="L49">
        <v>11</v>
      </c>
      <c r="M49">
        <v>12</v>
      </c>
    </row>
    <row r="50" spans="1:13" x14ac:dyDescent="0.3">
      <c r="E50" s="102" t="s">
        <v>176</v>
      </c>
      <c r="F50" s="102" t="s">
        <v>175</v>
      </c>
    </row>
    <row r="51" spans="1:13" x14ac:dyDescent="0.3">
      <c r="A51">
        <v>1</v>
      </c>
      <c r="E51" s="101">
        <v>1</v>
      </c>
      <c r="F51" t="s">
        <v>61</v>
      </c>
    </row>
    <row r="52" spans="1:13" x14ac:dyDescent="0.3">
      <c r="A52">
        <v>2</v>
      </c>
      <c r="E52" s="101">
        <v>2</v>
      </c>
      <c r="F52" t="s">
        <v>62</v>
      </c>
    </row>
    <row r="53" spans="1:13" x14ac:dyDescent="0.3">
      <c r="A53">
        <v>3</v>
      </c>
      <c r="E53" s="101">
        <v>3</v>
      </c>
      <c r="F53" t="s">
        <v>63</v>
      </c>
    </row>
    <row r="54" spans="1:13" x14ac:dyDescent="0.3">
      <c r="A54">
        <v>4</v>
      </c>
      <c r="E54" s="101">
        <v>4</v>
      </c>
      <c r="F54" t="s">
        <v>64</v>
      </c>
    </row>
    <row r="55" spans="1:13" x14ac:dyDescent="0.3">
      <c r="A55">
        <v>5</v>
      </c>
      <c r="E55" s="101">
        <v>5</v>
      </c>
      <c r="F55" t="s">
        <v>65</v>
      </c>
    </row>
    <row r="56" spans="1:13" x14ac:dyDescent="0.3">
      <c r="A56">
        <v>6</v>
      </c>
      <c r="E56" s="101">
        <v>6</v>
      </c>
      <c r="F56" t="s">
        <v>66</v>
      </c>
    </row>
    <row r="57" spans="1:13" x14ac:dyDescent="0.3">
      <c r="A57">
        <v>7</v>
      </c>
      <c r="E57" s="101">
        <v>7</v>
      </c>
      <c r="F57" t="s">
        <v>67</v>
      </c>
    </row>
    <row r="58" spans="1:13" x14ac:dyDescent="0.3">
      <c r="A58">
        <v>8</v>
      </c>
      <c r="E58" s="101">
        <v>8</v>
      </c>
      <c r="F58" t="s">
        <v>68</v>
      </c>
    </row>
    <row r="59" spans="1:13" x14ac:dyDescent="0.3">
      <c r="A59">
        <v>9</v>
      </c>
      <c r="E59" s="101">
        <v>9</v>
      </c>
      <c r="F59" t="s">
        <v>69</v>
      </c>
    </row>
    <row r="60" spans="1:13" x14ac:dyDescent="0.3">
      <c r="A60">
        <v>10</v>
      </c>
      <c r="E60" s="101">
        <v>10</v>
      </c>
      <c r="F60" t="s">
        <v>70</v>
      </c>
    </row>
    <row r="61" spans="1:13" x14ac:dyDescent="0.3">
      <c r="A61">
        <v>11</v>
      </c>
      <c r="E61" s="101">
        <v>11</v>
      </c>
      <c r="F61" t="s">
        <v>71</v>
      </c>
    </row>
    <row r="62" spans="1:13" x14ac:dyDescent="0.3">
      <c r="A62">
        <v>12</v>
      </c>
      <c r="E62" s="101">
        <v>12</v>
      </c>
      <c r="F62" t="s">
        <v>72</v>
      </c>
    </row>
    <row r="63" spans="1:13" x14ac:dyDescent="0.3">
      <c r="A63">
        <v>13</v>
      </c>
    </row>
    <row r="64" spans="1:13" x14ac:dyDescent="0.3">
      <c r="A64">
        <v>14</v>
      </c>
    </row>
    <row r="65" spans="1:1" x14ac:dyDescent="0.3">
      <c r="A65">
        <v>15</v>
      </c>
    </row>
    <row r="66" spans="1:1" x14ac:dyDescent="0.3">
      <c r="A66">
        <v>16</v>
      </c>
    </row>
    <row r="67" spans="1:1" x14ac:dyDescent="0.3">
      <c r="A67">
        <v>17</v>
      </c>
    </row>
    <row r="68" spans="1:1" x14ac:dyDescent="0.3">
      <c r="A68">
        <v>18</v>
      </c>
    </row>
    <row r="69" spans="1:1" x14ac:dyDescent="0.3">
      <c r="A69">
        <v>19</v>
      </c>
    </row>
    <row r="70" spans="1:1" x14ac:dyDescent="0.3">
      <c r="A70">
        <v>20</v>
      </c>
    </row>
    <row r="71" spans="1:1" x14ac:dyDescent="0.3">
      <c r="A71">
        <v>21</v>
      </c>
    </row>
    <row r="72" spans="1:1" x14ac:dyDescent="0.3">
      <c r="A72">
        <v>22</v>
      </c>
    </row>
    <row r="73" spans="1:1" x14ac:dyDescent="0.3">
      <c r="A73">
        <v>23</v>
      </c>
    </row>
    <row r="74" spans="1:1" x14ac:dyDescent="0.3">
      <c r="A74">
        <v>24</v>
      </c>
    </row>
    <row r="75" spans="1:1" x14ac:dyDescent="0.3">
      <c r="A75">
        <v>25</v>
      </c>
    </row>
    <row r="76" spans="1:1" x14ac:dyDescent="0.3">
      <c r="A76">
        <v>26</v>
      </c>
    </row>
    <row r="77" spans="1:1" x14ac:dyDescent="0.3">
      <c r="A77">
        <v>27</v>
      </c>
    </row>
    <row r="78" spans="1:1" x14ac:dyDescent="0.3">
      <c r="A78">
        <v>28</v>
      </c>
    </row>
    <row r="79" spans="1:1" x14ac:dyDescent="0.3">
      <c r="A79">
        <v>29</v>
      </c>
    </row>
    <row r="80" spans="1:1" x14ac:dyDescent="0.3">
      <c r="A80">
        <v>30</v>
      </c>
    </row>
    <row r="81" spans="1:1" x14ac:dyDescent="0.3">
      <c r="A81">
        <v>31</v>
      </c>
    </row>
    <row r="82" spans="1:1" x14ac:dyDescent="0.3">
      <c r="A82">
        <v>32</v>
      </c>
    </row>
    <row r="83" spans="1:1" x14ac:dyDescent="0.3">
      <c r="A83">
        <v>33</v>
      </c>
    </row>
    <row r="84" spans="1:1" x14ac:dyDescent="0.3">
      <c r="A84">
        <v>34</v>
      </c>
    </row>
    <row r="85" spans="1:1" x14ac:dyDescent="0.3">
      <c r="A85">
        <v>35</v>
      </c>
    </row>
    <row r="86" spans="1:1" x14ac:dyDescent="0.3">
      <c r="A86">
        <v>36</v>
      </c>
    </row>
    <row r="87" spans="1:1" x14ac:dyDescent="0.3">
      <c r="A87">
        <v>37</v>
      </c>
    </row>
    <row r="88" spans="1:1" x14ac:dyDescent="0.3">
      <c r="A88">
        <v>38</v>
      </c>
    </row>
    <row r="89" spans="1:1" x14ac:dyDescent="0.3">
      <c r="A89">
        <v>39</v>
      </c>
    </row>
    <row r="90" spans="1:1" x14ac:dyDescent="0.3">
      <c r="A90">
        <v>40</v>
      </c>
    </row>
    <row r="91" spans="1:1" x14ac:dyDescent="0.3">
      <c r="A91">
        <v>41</v>
      </c>
    </row>
    <row r="92" spans="1:1" x14ac:dyDescent="0.3">
      <c r="A92">
        <v>42</v>
      </c>
    </row>
    <row r="93" spans="1:1" x14ac:dyDescent="0.3">
      <c r="A93">
        <v>43</v>
      </c>
    </row>
    <row r="94" spans="1:1" x14ac:dyDescent="0.3">
      <c r="A94">
        <v>44</v>
      </c>
    </row>
    <row r="95" spans="1:1" x14ac:dyDescent="0.3">
      <c r="A95">
        <v>45</v>
      </c>
    </row>
    <row r="96" spans="1:1" x14ac:dyDescent="0.3">
      <c r="A96">
        <v>46</v>
      </c>
    </row>
    <row r="97" spans="1:1" x14ac:dyDescent="0.3">
      <c r="A97">
        <v>47</v>
      </c>
    </row>
    <row r="98" spans="1:1" x14ac:dyDescent="0.3">
      <c r="A98">
        <v>48</v>
      </c>
    </row>
    <row r="99" spans="1:1" x14ac:dyDescent="0.3">
      <c r="A99">
        <v>49</v>
      </c>
    </row>
    <row r="100" spans="1:1" x14ac:dyDescent="0.3">
      <c r="A100">
        <v>50</v>
      </c>
    </row>
    <row r="102" spans="1:1" x14ac:dyDescent="0.3">
      <c r="A102" t="s">
        <v>162</v>
      </c>
    </row>
    <row r="103" spans="1:1" x14ac:dyDescent="0.3">
      <c r="A103" t="s">
        <v>163</v>
      </c>
    </row>
    <row r="104" spans="1:1" x14ac:dyDescent="0.3">
      <c r="A104" t="s">
        <v>164</v>
      </c>
    </row>
    <row r="105" spans="1:1" x14ac:dyDescent="0.3">
      <c r="A105" t="s">
        <v>165</v>
      </c>
    </row>
    <row r="106" spans="1:1" x14ac:dyDescent="0.3">
      <c r="A106" t="s">
        <v>166</v>
      </c>
    </row>
    <row r="107" spans="1:1" x14ac:dyDescent="0.3">
      <c r="A107" t="s">
        <v>167</v>
      </c>
    </row>
  </sheetData>
  <pageMargins left="0.75" right="0.75" top="1" bottom="1" header="0.5" footer="0.5"/>
  <pageSetup orientation="portrait" verticalDpi="0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02C920734749747B2EE4B4BD47CCE72" ma:contentTypeVersion="11" ma:contentTypeDescription="Create a new document." ma:contentTypeScope="" ma:versionID="d849ef4f54b281002e4394d129e83bd3">
  <xsd:schema xmlns:xsd="http://www.w3.org/2001/XMLSchema" xmlns:xs="http://www.w3.org/2001/XMLSchema" xmlns:p="http://schemas.microsoft.com/office/2006/metadata/properties" xmlns:ns3="cbf9f2e8-d477-4433-9ac8-db3216617497" xmlns:ns4="8dd91be3-76e2-4d27-b804-a765ba408120" targetNamespace="http://schemas.microsoft.com/office/2006/metadata/properties" ma:root="true" ma:fieldsID="98da56e7d079dd354b4e8346b850c278" ns3:_="" ns4:_="">
    <xsd:import namespace="cbf9f2e8-d477-4433-9ac8-db3216617497"/>
    <xsd:import namespace="8dd91be3-76e2-4d27-b804-a765ba408120"/>
    <xsd:element name="properties">
      <xsd:complexType>
        <xsd:sequence>
          <xsd:element name="documentManagement">
            <xsd:complexType>
              <xsd:all>
                <xsd:element ref="ns3:SharedWithUsers" minOccurs="0"/>
                <xsd:element ref="ns3:SharedWithDetails" minOccurs="0"/>
                <xsd:element ref="ns3:SharingHintHash" minOccurs="0"/>
                <xsd:element ref="ns4:MediaServiceMetadata" minOccurs="0"/>
                <xsd:element ref="ns4:MediaServiceFastMetadata" minOccurs="0"/>
                <xsd:element ref="ns4:MediaServiceAutoKeyPoints" minOccurs="0"/>
                <xsd:element ref="ns4:MediaServiceKeyPoints" minOccurs="0"/>
                <xsd:element ref="ns4:MediaServiceDateTaken" minOccurs="0"/>
                <xsd:element ref="ns4:MediaServiceAutoTags" minOccurs="0"/>
                <xsd:element ref="ns4:MediaServiceGenerationTime" minOccurs="0"/>
                <xsd:element ref="ns4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bf9f2e8-d477-4433-9ac8-db3216617497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description="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0" nillable="true" ma:displayName="Sharing Hint Hash" ma:description="" ma:hidden="true" ma:internalName="SharingHintHash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dd91be3-76e2-4d27-b804-a765ba40812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1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12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AutoKeyPoints" ma:index="13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4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5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6" nillable="true" ma:displayName="Tags" ma:internalName="MediaServiceAutoTags" ma:readOnly="true">
      <xsd:simpleType>
        <xsd:restriction base="dms:Text"/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02F2277E-66F7-457B-A610-4C03404D3DC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bf9f2e8-d477-4433-9ac8-db3216617497"/>
    <ds:schemaRef ds:uri="8dd91be3-76e2-4d27-b804-a765ba40812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E7C91D55-4269-4C69-8B5D-14A321360CD0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9AEAF5C5-0B4E-40A0-8DA5-B24EEE8018EE}">
  <ds:schemaRefs>
    <ds:schemaRef ds:uri="http://schemas.openxmlformats.org/package/2006/metadata/core-properties"/>
    <ds:schemaRef ds:uri="http://schemas.microsoft.com/office/2006/documentManagement/types"/>
    <ds:schemaRef ds:uri="http://schemas.microsoft.com/office/infopath/2007/PartnerControls"/>
    <ds:schemaRef ds:uri="cbf9f2e8-d477-4433-9ac8-db3216617497"/>
    <ds:schemaRef ds:uri="http://purl.org/dc/elements/1.1/"/>
    <ds:schemaRef ds:uri="http://schemas.microsoft.com/office/2006/metadata/properties"/>
    <ds:schemaRef ds:uri="http://purl.org/dc/terms/"/>
    <ds:schemaRef ds:uri="8dd91be3-76e2-4d27-b804-a765ba408120"/>
    <ds:schemaRef ds:uri="http://www.w3.org/XML/1998/namespace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20</vt:i4>
      </vt:variant>
      <vt:variant>
        <vt:lpstr>Named Ranges</vt:lpstr>
      </vt:variant>
      <vt:variant>
        <vt:i4>14</vt:i4>
      </vt:variant>
    </vt:vector>
  </HeadingPairs>
  <TitlesOfParts>
    <vt:vector size="34" baseType="lpstr">
      <vt:lpstr>Transactions</vt:lpstr>
      <vt:lpstr>Working Cash Flow</vt:lpstr>
      <vt:lpstr>Miles</vt:lpstr>
      <vt:lpstr>Customers</vt:lpstr>
      <vt:lpstr>Vendors</vt:lpstr>
      <vt:lpstr>Schedule C (P&amp;L)</vt:lpstr>
      <vt:lpstr>Cost of Goods Sold</vt:lpstr>
      <vt:lpstr>Schedule SE</vt:lpstr>
      <vt:lpstr>IRS Mileage</vt:lpstr>
      <vt:lpstr>2022 Forecast</vt:lpstr>
      <vt:lpstr>2023 Forecast</vt:lpstr>
      <vt:lpstr>Forecast Year 3</vt:lpstr>
      <vt:lpstr>Amortization Schedule</vt:lpstr>
      <vt:lpstr>Starting Inventory</vt:lpstr>
      <vt:lpstr>Insurance</vt:lpstr>
      <vt:lpstr>Licenses</vt:lpstr>
      <vt:lpstr>Capital Purchases</vt:lpstr>
      <vt:lpstr>Employees</vt:lpstr>
      <vt:lpstr>Forecasting</vt:lpstr>
      <vt:lpstr>Classifications</vt:lpstr>
      <vt:lpstr>InventoryMethod</vt:lpstr>
      <vt:lpstr>InvetoryMethod</vt:lpstr>
      <vt:lpstr>List</vt:lpstr>
      <vt:lpstr>Loan_Amount</vt:lpstr>
      <vt:lpstr>Loan_Term</vt:lpstr>
      <vt:lpstr>LoanAmount</vt:lpstr>
      <vt:lpstr>Payment</vt:lpstr>
      <vt:lpstr>Periods</vt:lpstr>
      <vt:lpstr>Rate</vt:lpstr>
      <vt:lpstr>Total_Cost</vt:lpstr>
      <vt:lpstr>Total_Interest</vt:lpstr>
      <vt:lpstr>Total_Principal</vt:lpstr>
      <vt:lpstr>YesNo</vt:lpstr>
      <vt:lpstr>YesNo?</vt:lpstr>
    </vt:vector>
  </TitlesOfParts>
  <Manager/>
  <Company>SC SBDC Aiken Area Center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SC SBDC Excel</dc:title>
  <dc:subject>Cash Flow &amp; Records Workbook</dc:subject>
  <dc:creator>Brent Hoover</dc:creator>
  <cp:keywords/>
  <dc:description>Created by Brent Hoover</dc:description>
  <cp:lastModifiedBy>Brent Hoover</cp:lastModifiedBy>
  <cp:lastPrinted>2019-06-24T19:24:02Z</cp:lastPrinted>
  <dcterms:created xsi:type="dcterms:W3CDTF">2010-04-11T15:50:05Z</dcterms:created>
  <dcterms:modified xsi:type="dcterms:W3CDTF">2021-03-04T18:21:39Z</dcterms:modified>
  <cp:category/>
  <cp:version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TemplateID">
    <vt:lpwstr>TC100738799990</vt:lpwstr>
  </property>
  <property fmtid="{D5CDD505-2E9C-101B-9397-08002B2CF9AE}" pid="3" name="ContentTypeId">
    <vt:lpwstr>0x010100202C920734749747B2EE4B4BD47CCE72</vt:lpwstr>
  </property>
</Properties>
</file>